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3040" windowHeight="10635" tabRatio="938" activeTab="8"/>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56" r:id="rId8"/>
    <sheet name=" CAT. FUNCION, SUB FUNCION" sheetId="21" r:id="rId9"/>
  </sheets>
  <externalReferences>
    <externalReference r:id="rId10"/>
  </externalReference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'!$A$1:$DE$149</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AK23" i="56" l="1"/>
  <c r="CE149" i="56"/>
  <c r="BW149" i="56"/>
  <c r="AY149" i="56"/>
  <c r="AG149" i="56"/>
  <c r="CV148" i="56"/>
  <c r="CN148" i="56"/>
  <c r="BG148" i="56"/>
  <c r="AQ148" i="56"/>
  <c r="BO148" i="56" s="1"/>
  <c r="AK148" i="56"/>
  <c r="CN147" i="56"/>
  <c r="BG147" i="56"/>
  <c r="AK147" i="56"/>
  <c r="AQ147" i="56" s="1"/>
  <c r="CN146" i="56"/>
  <c r="BG146" i="56"/>
  <c r="AQ146" i="56"/>
  <c r="AK146" i="56"/>
  <c r="CN145" i="56"/>
  <c r="BO145" i="56"/>
  <c r="BG145" i="56"/>
  <c r="AK145" i="56"/>
  <c r="AQ145" i="56" s="1"/>
  <c r="CN144" i="56"/>
  <c r="BG144" i="56"/>
  <c r="CV144" i="56" s="1"/>
  <c r="AQ144" i="56"/>
  <c r="BO144" i="56" s="1"/>
  <c r="AK144" i="56"/>
  <c r="CN143" i="56"/>
  <c r="BO143" i="56"/>
  <c r="BG143" i="56"/>
  <c r="AK143" i="56"/>
  <c r="AQ143" i="56" s="1"/>
  <c r="CV142" i="56"/>
  <c r="CN142" i="56"/>
  <c r="BG142" i="56"/>
  <c r="AQ142" i="56"/>
  <c r="BO142" i="56" s="1"/>
  <c r="AK142" i="56"/>
  <c r="BO141" i="56"/>
  <c r="BG141" i="56"/>
  <c r="AQ141" i="56"/>
  <c r="AK141" i="56"/>
  <c r="CV140" i="56"/>
  <c r="BG140" i="56"/>
  <c r="AK140" i="56"/>
  <c r="AQ140" i="56" s="1"/>
  <c r="BO140" i="56" s="1"/>
  <c r="CV139" i="56"/>
  <c r="CN139" i="56"/>
  <c r="BG139" i="56"/>
  <c r="AQ139" i="56"/>
  <c r="BO139" i="56" s="1"/>
  <c r="AK139" i="56"/>
  <c r="CN138" i="56"/>
  <c r="BG138" i="56"/>
  <c r="AK138" i="56"/>
  <c r="AQ138" i="56" s="1"/>
  <c r="CN137" i="56"/>
  <c r="BG137" i="56"/>
  <c r="AQ137" i="56"/>
  <c r="AK137" i="56"/>
  <c r="CN136" i="56"/>
  <c r="BO136" i="56"/>
  <c r="BG136" i="56"/>
  <c r="AK136" i="56"/>
  <c r="AQ136" i="56" s="1"/>
  <c r="CN135" i="56"/>
  <c r="BG135" i="56"/>
  <c r="CV135" i="56" s="1"/>
  <c r="AQ135" i="56"/>
  <c r="BO135" i="56" s="1"/>
  <c r="AK135" i="56"/>
  <c r="CN134" i="56"/>
  <c r="BO134" i="56"/>
  <c r="BG134" i="56"/>
  <c r="AK134" i="56"/>
  <c r="AQ134" i="56" s="1"/>
  <c r="CV133" i="56"/>
  <c r="CN133" i="56"/>
  <c r="BG133" i="56"/>
  <c r="AQ133" i="56"/>
  <c r="BO133" i="56" s="1"/>
  <c r="AK133" i="56"/>
  <c r="CN132" i="56"/>
  <c r="BG132" i="56"/>
  <c r="AK132" i="56"/>
  <c r="AQ132" i="56" s="1"/>
  <c r="CV131" i="56"/>
  <c r="CN131" i="56"/>
  <c r="BG131" i="56"/>
  <c r="AQ131" i="56"/>
  <c r="BO131" i="56" s="1"/>
  <c r="AK131" i="56"/>
  <c r="CN130" i="56"/>
  <c r="BG130" i="56"/>
  <c r="AK130" i="56"/>
  <c r="AQ130" i="56" s="1"/>
  <c r="CN129" i="56"/>
  <c r="BG129" i="56"/>
  <c r="AQ129" i="56"/>
  <c r="AK129" i="56"/>
  <c r="CN128" i="56"/>
  <c r="BO128" i="56"/>
  <c r="BG128" i="56"/>
  <c r="AK128" i="56"/>
  <c r="AQ128" i="56" s="1"/>
  <c r="CN127" i="56"/>
  <c r="BG127" i="56"/>
  <c r="CV127" i="56" s="1"/>
  <c r="AQ127" i="56"/>
  <c r="BO127" i="56" s="1"/>
  <c r="AK127" i="56"/>
  <c r="CN126" i="56"/>
  <c r="BO126" i="56"/>
  <c r="BG126" i="56"/>
  <c r="AK126" i="56"/>
  <c r="AQ126" i="56" s="1"/>
  <c r="CV125" i="56"/>
  <c r="CN125" i="56"/>
  <c r="BG125" i="56"/>
  <c r="AQ125" i="56"/>
  <c r="BO125" i="56" s="1"/>
  <c r="AK125" i="56"/>
  <c r="CN124" i="56"/>
  <c r="BG124" i="56"/>
  <c r="AK124" i="56"/>
  <c r="AQ124" i="56" s="1"/>
  <c r="CV123" i="56"/>
  <c r="CN123" i="56"/>
  <c r="BG123" i="56"/>
  <c r="AQ123" i="56"/>
  <c r="BO123" i="56" s="1"/>
  <c r="AK123" i="56"/>
  <c r="CN122" i="56"/>
  <c r="BG122" i="56"/>
  <c r="AK122" i="56"/>
  <c r="AQ122" i="56" s="1"/>
  <c r="CN121" i="56"/>
  <c r="BG121" i="56"/>
  <c r="AQ121" i="56"/>
  <c r="AK121" i="56"/>
  <c r="CN120" i="56"/>
  <c r="BO120" i="56"/>
  <c r="BG120" i="56"/>
  <c r="AK120" i="56"/>
  <c r="AQ120" i="56" s="1"/>
  <c r="CN119" i="56"/>
  <c r="BG119" i="56"/>
  <c r="CV119" i="56" s="1"/>
  <c r="AQ119" i="56"/>
  <c r="BO119" i="56" s="1"/>
  <c r="AK119" i="56"/>
  <c r="CN118" i="56"/>
  <c r="BO118" i="56"/>
  <c r="BG118" i="56"/>
  <c r="AK118" i="56"/>
  <c r="AQ118" i="56" s="1"/>
  <c r="CV117" i="56"/>
  <c r="CN117" i="56"/>
  <c r="BG117" i="56"/>
  <c r="AQ117" i="56"/>
  <c r="BO117" i="56" s="1"/>
  <c r="AK117" i="56"/>
  <c r="CN116" i="56"/>
  <c r="BG116" i="56"/>
  <c r="AK116" i="56"/>
  <c r="AQ116" i="56" s="1"/>
  <c r="CV115" i="56"/>
  <c r="CN115" i="56"/>
  <c r="BG115" i="56"/>
  <c r="AQ115" i="56"/>
  <c r="BO115" i="56" s="1"/>
  <c r="AK115" i="56"/>
  <c r="CN114" i="56"/>
  <c r="BG114" i="56"/>
  <c r="AK114" i="56"/>
  <c r="AQ114" i="56" s="1"/>
  <c r="CN113" i="56"/>
  <c r="BG113" i="56"/>
  <c r="AQ113" i="56"/>
  <c r="AK113" i="56"/>
  <c r="CN112" i="56"/>
  <c r="BO112" i="56"/>
  <c r="BG112" i="56"/>
  <c r="AK112" i="56"/>
  <c r="AQ112" i="56" s="1"/>
  <c r="CN111" i="56"/>
  <c r="BG111" i="56"/>
  <c r="CV111" i="56" s="1"/>
  <c r="AQ111" i="56"/>
  <c r="BO111" i="56" s="1"/>
  <c r="AK111" i="56"/>
  <c r="CN110" i="56"/>
  <c r="BO110" i="56"/>
  <c r="BG110" i="56"/>
  <c r="AK110" i="56"/>
  <c r="AQ110" i="56" s="1"/>
  <c r="CV109" i="56"/>
  <c r="CN109" i="56"/>
  <c r="BG109" i="56"/>
  <c r="AQ109" i="56"/>
  <c r="BO109" i="56" s="1"/>
  <c r="AK109" i="56"/>
  <c r="CN108" i="56"/>
  <c r="BG108" i="56"/>
  <c r="AK108" i="56"/>
  <c r="AQ108" i="56" s="1"/>
  <c r="CV107" i="56"/>
  <c r="CN107" i="56"/>
  <c r="BG107" i="56"/>
  <c r="AQ107" i="56"/>
  <c r="BO107" i="56" s="1"/>
  <c r="AK107" i="56"/>
  <c r="CN106" i="56"/>
  <c r="BG106" i="56"/>
  <c r="AK106" i="56"/>
  <c r="AQ106" i="56" s="1"/>
  <c r="CN105" i="56"/>
  <c r="BG105" i="56"/>
  <c r="AQ105" i="56"/>
  <c r="AK105" i="56"/>
  <c r="CN104" i="56"/>
  <c r="BO104" i="56"/>
  <c r="BG104" i="56"/>
  <c r="AK104" i="56"/>
  <c r="AQ104" i="56" s="1"/>
  <c r="CN103" i="56"/>
  <c r="BG103" i="56"/>
  <c r="CV103" i="56" s="1"/>
  <c r="AQ103" i="56"/>
  <c r="BO103" i="56" s="1"/>
  <c r="AK103" i="56"/>
  <c r="CN102" i="56"/>
  <c r="BO102" i="56"/>
  <c r="BG102" i="56"/>
  <c r="AK102" i="56"/>
  <c r="AQ102" i="56" s="1"/>
  <c r="CV101" i="56"/>
  <c r="CN101" i="56"/>
  <c r="BG101" i="56"/>
  <c r="AQ101" i="56"/>
  <c r="BO101" i="56" s="1"/>
  <c r="AK101" i="56"/>
  <c r="CN100" i="56"/>
  <c r="BG100" i="56"/>
  <c r="AK100" i="56"/>
  <c r="AQ100" i="56" s="1"/>
  <c r="CV99" i="56"/>
  <c r="CN99" i="56"/>
  <c r="BG99" i="56"/>
  <c r="AQ99" i="56"/>
  <c r="BO99" i="56" s="1"/>
  <c r="AK99" i="56"/>
  <c r="CN98" i="56"/>
  <c r="BG98" i="56"/>
  <c r="AK98" i="56"/>
  <c r="AQ98" i="56" s="1"/>
  <c r="CN97" i="56"/>
  <c r="BG97" i="56"/>
  <c r="AQ97" i="56"/>
  <c r="AK97" i="56"/>
  <c r="CN96" i="56"/>
  <c r="BO96" i="56"/>
  <c r="BG96" i="56"/>
  <c r="AK96" i="56"/>
  <c r="AQ96" i="56" s="1"/>
  <c r="CN95" i="56"/>
  <c r="BG95" i="56"/>
  <c r="AK95" i="56"/>
  <c r="AQ95" i="56" s="1"/>
  <c r="CN94" i="56"/>
  <c r="BO94" i="56"/>
  <c r="BG94" i="56"/>
  <c r="AK94" i="56"/>
  <c r="AQ94" i="56" s="1"/>
  <c r="BG93" i="56"/>
  <c r="AK93" i="56"/>
  <c r="AQ93" i="56" s="1"/>
  <c r="BO93" i="56" s="1"/>
  <c r="BG92" i="56"/>
  <c r="AK92" i="56"/>
  <c r="AQ92" i="56" s="1"/>
  <c r="BO92" i="56" s="1"/>
  <c r="CV91" i="56"/>
  <c r="CN91" i="56"/>
  <c r="BG91" i="56"/>
  <c r="AQ91" i="56"/>
  <c r="BO91" i="56" s="1"/>
  <c r="AK91" i="56"/>
  <c r="CN90" i="56"/>
  <c r="BG90" i="56"/>
  <c r="AK90" i="56"/>
  <c r="AQ90" i="56" s="1"/>
  <c r="CN89" i="56"/>
  <c r="BG89" i="56"/>
  <c r="AQ89" i="56"/>
  <c r="BO89" i="56" s="1"/>
  <c r="AK89" i="56"/>
  <c r="CN88" i="56"/>
  <c r="BO88" i="56"/>
  <c r="BG88" i="56"/>
  <c r="AK88" i="56"/>
  <c r="AQ88" i="56" s="1"/>
  <c r="CN87" i="56"/>
  <c r="BG87" i="56"/>
  <c r="CV87" i="56" s="1"/>
  <c r="AQ87" i="56"/>
  <c r="BO87" i="56" s="1"/>
  <c r="AK87" i="56"/>
  <c r="BO86" i="56"/>
  <c r="BG86" i="56"/>
  <c r="AK86" i="56"/>
  <c r="AQ86" i="56" s="1"/>
  <c r="CN85" i="56"/>
  <c r="BG85" i="56"/>
  <c r="AK85" i="56"/>
  <c r="AQ85" i="56" s="1"/>
  <c r="CN84" i="56"/>
  <c r="BO84" i="56"/>
  <c r="BG84" i="56"/>
  <c r="AK84" i="56"/>
  <c r="AQ84" i="56" s="1"/>
  <c r="CN83" i="56"/>
  <c r="BG83" i="56"/>
  <c r="AK83" i="56"/>
  <c r="AQ83" i="56" s="1"/>
  <c r="CN82" i="56"/>
  <c r="BG82" i="56"/>
  <c r="AK82" i="56"/>
  <c r="AQ82" i="56" s="1"/>
  <c r="BG81" i="56"/>
  <c r="AK81" i="56"/>
  <c r="AQ81" i="56" s="1"/>
  <c r="BO81" i="56" s="1"/>
  <c r="CV81" i="56" s="1"/>
  <c r="CV80" i="56"/>
  <c r="CN80" i="56"/>
  <c r="BG80" i="56"/>
  <c r="AQ80" i="56"/>
  <c r="BO80" i="56" s="1"/>
  <c r="AK80" i="56"/>
  <c r="CN79" i="56"/>
  <c r="BG79" i="56"/>
  <c r="AK79" i="56"/>
  <c r="AQ79" i="56" s="1"/>
  <c r="CN78" i="56"/>
  <c r="BG78" i="56"/>
  <c r="AQ78" i="56"/>
  <c r="BO78" i="56" s="1"/>
  <c r="AK78" i="56"/>
  <c r="CN77" i="56"/>
  <c r="BO77" i="56"/>
  <c r="BG77" i="56"/>
  <c r="AK77" i="56"/>
  <c r="AQ77" i="56" s="1"/>
  <c r="CN76" i="56"/>
  <c r="BG76" i="56"/>
  <c r="CV76" i="56" s="1"/>
  <c r="AQ76" i="56"/>
  <c r="BO76" i="56" s="1"/>
  <c r="AK76" i="56"/>
  <c r="CN75" i="56"/>
  <c r="BO75" i="56"/>
  <c r="BG75" i="56"/>
  <c r="AK75" i="56"/>
  <c r="AQ75" i="56" s="1"/>
  <c r="CV74" i="56"/>
  <c r="CN74" i="56"/>
  <c r="BG74" i="56"/>
  <c r="AQ74" i="56"/>
  <c r="BO74" i="56" s="1"/>
  <c r="AK74" i="56"/>
  <c r="BO73" i="56"/>
  <c r="BG73" i="56"/>
  <c r="AK73" i="56"/>
  <c r="AQ73" i="56" s="1"/>
  <c r="CN72" i="56"/>
  <c r="BG72" i="56"/>
  <c r="AK72" i="56"/>
  <c r="AQ72" i="56" s="1"/>
  <c r="CN71" i="56"/>
  <c r="BG71" i="56"/>
  <c r="AK71" i="56"/>
  <c r="AQ71" i="56" s="1"/>
  <c r="BO71" i="56" s="1"/>
  <c r="CN70" i="56"/>
  <c r="BG70" i="56"/>
  <c r="AK70" i="56"/>
  <c r="AQ70" i="56" s="1"/>
  <c r="CN69" i="56"/>
  <c r="BG69" i="56"/>
  <c r="AK69" i="56"/>
  <c r="AQ69" i="56" s="1"/>
  <c r="BG68" i="56"/>
  <c r="AK68" i="56"/>
  <c r="AQ68" i="56" s="1"/>
  <c r="BO68" i="56" s="1"/>
  <c r="CN67" i="56"/>
  <c r="BG67" i="56"/>
  <c r="AQ67" i="56"/>
  <c r="BO67" i="56" s="1"/>
  <c r="AK67" i="56"/>
  <c r="CN66" i="56"/>
  <c r="BO66" i="56"/>
  <c r="BG66" i="56"/>
  <c r="AK66" i="56"/>
  <c r="AQ66" i="56" s="1"/>
  <c r="BG65" i="56"/>
  <c r="AQ65" i="56"/>
  <c r="BO65" i="56" s="1"/>
  <c r="AK65" i="56"/>
  <c r="CN64" i="56"/>
  <c r="BO64" i="56"/>
  <c r="BG64" i="56"/>
  <c r="AK64" i="56"/>
  <c r="AQ64" i="56" s="1"/>
  <c r="CN63" i="56"/>
  <c r="BG63" i="56"/>
  <c r="AK63" i="56"/>
  <c r="AQ63" i="56" s="1"/>
  <c r="CN62" i="56"/>
  <c r="BO62" i="56"/>
  <c r="BG62" i="56"/>
  <c r="AK62" i="56"/>
  <c r="AQ62" i="56" s="1"/>
  <c r="CN61" i="56"/>
  <c r="BG61" i="56"/>
  <c r="AK61" i="56"/>
  <c r="AQ61" i="56" s="1"/>
  <c r="CN60" i="56"/>
  <c r="BG60" i="56"/>
  <c r="AK60" i="56"/>
  <c r="AQ60" i="56" s="1"/>
  <c r="CN59" i="56"/>
  <c r="BG59" i="56"/>
  <c r="AK59" i="56"/>
  <c r="AQ59" i="56" s="1"/>
  <c r="CN58" i="56"/>
  <c r="BG58" i="56"/>
  <c r="AK58" i="56"/>
  <c r="AQ58" i="56" s="1"/>
  <c r="CN57" i="56"/>
  <c r="BG57" i="56"/>
  <c r="AQ57" i="56"/>
  <c r="BO57" i="56" s="1"/>
  <c r="AK57" i="56"/>
  <c r="CN56" i="56"/>
  <c r="BO56" i="56"/>
  <c r="BG56" i="56"/>
  <c r="AK56" i="56"/>
  <c r="AQ56" i="56" s="1"/>
  <c r="BO55" i="56"/>
  <c r="CV55" i="56" s="1"/>
  <c r="BG55" i="56"/>
  <c r="AK55" i="56"/>
  <c r="AQ55" i="56" s="1"/>
  <c r="CN54" i="56"/>
  <c r="BG54" i="56"/>
  <c r="CV54" i="56" s="1"/>
  <c r="AQ54" i="56"/>
  <c r="BO54" i="56" s="1"/>
  <c r="AK54" i="56"/>
  <c r="CN53" i="56"/>
  <c r="BO53" i="56"/>
  <c r="BG53" i="56"/>
  <c r="AK53" i="56"/>
  <c r="AQ53" i="56" s="1"/>
  <c r="CV52" i="56"/>
  <c r="CN52" i="56"/>
  <c r="BG52" i="56"/>
  <c r="AQ52" i="56"/>
  <c r="BO52" i="56" s="1"/>
  <c r="AK52" i="56"/>
  <c r="CN51" i="56"/>
  <c r="BG51" i="56"/>
  <c r="AK51" i="56"/>
  <c r="AQ51" i="56" s="1"/>
  <c r="CV50" i="56"/>
  <c r="CN50" i="56"/>
  <c r="BG50" i="56"/>
  <c r="AQ50" i="56"/>
  <c r="BO50" i="56" s="1"/>
  <c r="AK50" i="56"/>
  <c r="CN49" i="56"/>
  <c r="BG49" i="56"/>
  <c r="AK49" i="56"/>
  <c r="AQ49" i="56" s="1"/>
  <c r="BG48" i="56"/>
  <c r="AK48" i="56"/>
  <c r="AQ48" i="56" s="1"/>
  <c r="CN47" i="56"/>
  <c r="BG47" i="56"/>
  <c r="AK47" i="56"/>
  <c r="AQ47" i="56" s="1"/>
  <c r="BG46" i="56"/>
  <c r="AK46" i="56"/>
  <c r="AQ46" i="56" s="1"/>
  <c r="CN45" i="56"/>
  <c r="BG45" i="56"/>
  <c r="AQ45" i="56"/>
  <c r="BO45" i="56" s="1"/>
  <c r="AK45" i="56"/>
  <c r="CN44" i="56"/>
  <c r="BO44" i="56"/>
  <c r="BG44" i="56"/>
  <c r="AK44" i="56"/>
  <c r="AQ44" i="56" s="1"/>
  <c r="CN43" i="56"/>
  <c r="BG43" i="56"/>
  <c r="CV43" i="56" s="1"/>
  <c r="AQ43" i="56"/>
  <c r="BO43" i="56" s="1"/>
  <c r="AK43" i="56"/>
  <c r="CN42" i="56"/>
  <c r="BO42" i="56"/>
  <c r="BG42" i="56"/>
  <c r="AK42" i="56"/>
  <c r="AQ42" i="56" s="1"/>
  <c r="CV41" i="56"/>
  <c r="CN41" i="56"/>
  <c r="BG41" i="56"/>
  <c r="AQ41" i="56"/>
  <c r="BO41" i="56" s="1"/>
  <c r="AK41" i="56"/>
  <c r="CN40" i="56"/>
  <c r="BG40" i="56"/>
  <c r="AK40" i="56"/>
  <c r="AQ40" i="56" s="1"/>
  <c r="BO40" i="56" s="1"/>
  <c r="CV39" i="56"/>
  <c r="CN39" i="56"/>
  <c r="BG39" i="56"/>
  <c r="AQ39" i="56"/>
  <c r="BO39" i="56" s="1"/>
  <c r="AK39" i="56"/>
  <c r="CN38" i="56"/>
  <c r="BG38" i="56"/>
  <c r="AK38" i="56"/>
  <c r="AQ38" i="56" s="1"/>
  <c r="CN37" i="56"/>
  <c r="BG37" i="56"/>
  <c r="AQ37" i="56"/>
  <c r="BO37" i="56" s="1"/>
  <c r="AK37" i="56"/>
  <c r="CN36" i="56"/>
  <c r="BO36" i="56"/>
  <c r="BG36" i="56"/>
  <c r="AK36" i="56"/>
  <c r="AQ36" i="56" s="1"/>
  <c r="CN35" i="56"/>
  <c r="BG35" i="56"/>
  <c r="CV35" i="56" s="1"/>
  <c r="AQ35" i="56"/>
  <c r="BO35" i="56" s="1"/>
  <c r="AK35" i="56"/>
  <c r="CN34" i="56"/>
  <c r="BO34" i="56"/>
  <c r="BG34" i="56"/>
  <c r="AK34" i="56"/>
  <c r="AQ34" i="56" s="1"/>
  <c r="CV33" i="56"/>
  <c r="CN33" i="56"/>
  <c r="BG33" i="56"/>
  <c r="AQ33" i="56"/>
  <c r="BO33" i="56" s="1"/>
  <c r="AK33" i="56"/>
  <c r="CN32" i="56"/>
  <c r="BG32" i="56"/>
  <c r="AK32" i="56"/>
  <c r="AQ32" i="56" s="1"/>
  <c r="CV31" i="56"/>
  <c r="CN31" i="56"/>
  <c r="BG31" i="56"/>
  <c r="AQ31" i="56"/>
  <c r="BO31" i="56" s="1"/>
  <c r="AK31" i="56"/>
  <c r="CN30" i="56"/>
  <c r="BG30" i="56"/>
  <c r="AK30" i="56"/>
  <c r="AQ30" i="56" s="1"/>
  <c r="CN29" i="56"/>
  <c r="BG29" i="56"/>
  <c r="AQ29" i="56"/>
  <c r="BO29" i="56" s="1"/>
  <c r="AK29" i="56"/>
  <c r="CN28" i="56"/>
  <c r="BO28" i="56"/>
  <c r="BG28" i="56"/>
  <c r="AK28" i="56"/>
  <c r="AQ28" i="56" s="1"/>
  <c r="CN27" i="56"/>
  <c r="BG27" i="56"/>
  <c r="CV27" i="56" s="1"/>
  <c r="AQ27" i="56"/>
  <c r="BO27" i="56" s="1"/>
  <c r="AK27" i="56"/>
  <c r="CN26" i="56"/>
  <c r="BO26" i="56"/>
  <c r="BG26" i="56"/>
  <c r="AK26" i="56"/>
  <c r="AQ26" i="56" s="1"/>
  <c r="BG25" i="56"/>
  <c r="AK25" i="56"/>
  <c r="AQ25" i="56" s="1"/>
  <c r="CN24" i="56"/>
  <c r="BO24" i="56"/>
  <c r="BG24" i="56"/>
  <c r="AK24" i="56"/>
  <c r="AQ24" i="56" s="1"/>
  <c r="BO23" i="56"/>
  <c r="CV23" i="56" s="1"/>
  <c r="BG23" i="56"/>
  <c r="AQ23" i="56"/>
  <c r="CV22" i="56"/>
  <c r="CN22" i="56"/>
  <c r="BG22" i="56"/>
  <c r="AQ22" i="56"/>
  <c r="BO22" i="56" s="1"/>
  <c r="AK22" i="56"/>
  <c r="BO21" i="56"/>
  <c r="BG21" i="56"/>
  <c r="AK21" i="56"/>
  <c r="AQ21" i="56" s="1"/>
  <c r="CN20" i="56"/>
  <c r="BG20" i="56"/>
  <c r="AK20" i="56"/>
  <c r="AQ20" i="56" s="1"/>
  <c r="CN19" i="56"/>
  <c r="BG19" i="56"/>
  <c r="AK19" i="56"/>
  <c r="AQ19" i="56" s="1"/>
  <c r="BO19" i="56" s="1"/>
  <c r="CN18" i="56"/>
  <c r="BG18" i="56"/>
  <c r="AK18" i="56"/>
  <c r="AQ18" i="56" s="1"/>
  <c r="BG17" i="56"/>
  <c r="AQ17" i="56"/>
  <c r="AK17" i="56"/>
  <c r="CN16" i="56"/>
  <c r="BG16" i="56"/>
  <c r="AK16" i="56"/>
  <c r="AQ16" i="56" s="1"/>
  <c r="BO16" i="56" s="1"/>
  <c r="CV15" i="56"/>
  <c r="CN15" i="56"/>
  <c r="BG15" i="56"/>
  <c r="AQ15" i="56"/>
  <c r="BO15" i="56" s="1"/>
  <c r="AK15" i="56"/>
  <c r="CN14" i="56"/>
  <c r="BG14" i="56"/>
  <c r="AK14" i="56"/>
  <c r="AQ14" i="56" s="1"/>
  <c r="CN13" i="56"/>
  <c r="BG13" i="56"/>
  <c r="AQ13" i="56"/>
  <c r="BO13" i="56" s="1"/>
  <c r="AK13" i="56"/>
  <c r="BO12" i="56"/>
  <c r="BG12" i="56"/>
  <c r="CV12" i="56" s="1"/>
  <c r="AK12" i="56"/>
  <c r="AQ12" i="56" s="1"/>
  <c r="BG11" i="56"/>
  <c r="AK11" i="56"/>
  <c r="AQ11" i="56" s="1"/>
  <c r="BG10" i="56"/>
  <c r="AK10" i="56"/>
  <c r="AQ10" i="56" s="1"/>
  <c r="CN9" i="56"/>
  <c r="BO9" i="56"/>
  <c r="BG9" i="56"/>
  <c r="AK9" i="56"/>
  <c r="AQ9" i="56" s="1"/>
  <c r="BG8" i="56"/>
  <c r="AK8" i="56"/>
  <c r="A2" i="56"/>
  <c r="CV46" i="56" l="1"/>
  <c r="BO10" i="56"/>
  <c r="CV10" i="56"/>
  <c r="BO48" i="56"/>
  <c r="CV48" i="56"/>
  <c r="BO59" i="56"/>
  <c r="CV59" i="56"/>
  <c r="BO70" i="56"/>
  <c r="CV70" i="56"/>
  <c r="BO18" i="56"/>
  <c r="CV18" i="56"/>
  <c r="BO25" i="56"/>
  <c r="CV25" i="56"/>
  <c r="BO63" i="56"/>
  <c r="CV63" i="56"/>
  <c r="BO85" i="56"/>
  <c r="CV85" i="56"/>
  <c r="BO11" i="56"/>
  <c r="CV11" i="56" s="1"/>
  <c r="BO61" i="56"/>
  <c r="CV61" i="56"/>
  <c r="BO72" i="56"/>
  <c r="CV72" i="56"/>
  <c r="BO83" i="56"/>
  <c r="CV83" i="56"/>
  <c r="BO20" i="56"/>
  <c r="CV20" i="56"/>
  <c r="CV30" i="56"/>
  <c r="CV49" i="56"/>
  <c r="CV90" i="56"/>
  <c r="BO95" i="56"/>
  <c r="CV95" i="56" s="1"/>
  <c r="BO97" i="56"/>
  <c r="CV97" i="56"/>
  <c r="BO105" i="56"/>
  <c r="CV105" i="56" s="1"/>
  <c r="BO113" i="56"/>
  <c r="CV113" i="56"/>
  <c r="BO121" i="56"/>
  <c r="CV121" i="56" s="1"/>
  <c r="BO129" i="56"/>
  <c r="CV129" i="56"/>
  <c r="BO137" i="56"/>
  <c r="CV137" i="56" s="1"/>
  <c r="BO146" i="56"/>
  <c r="CV146" i="56"/>
  <c r="CN149" i="56"/>
  <c r="CV60" i="56"/>
  <c r="CV82" i="56"/>
  <c r="CV9" i="56"/>
  <c r="BO17" i="56"/>
  <c r="CV17" i="56" s="1"/>
  <c r="CV26" i="56"/>
  <c r="BO30" i="56"/>
  <c r="CV34" i="56"/>
  <c r="BO38" i="56"/>
  <c r="CV38" i="56" s="1"/>
  <c r="CV42" i="56"/>
  <c r="BO46" i="56"/>
  <c r="BG149" i="56"/>
  <c r="CV13" i="56"/>
  <c r="CV28" i="56"/>
  <c r="CV29" i="56"/>
  <c r="BO32" i="56"/>
  <c r="CV32" i="56" s="1"/>
  <c r="CV36" i="56"/>
  <c r="CV37" i="56"/>
  <c r="CV44" i="56"/>
  <c r="CV45" i="56"/>
  <c r="BO51" i="56"/>
  <c r="CV51" i="56" s="1"/>
  <c r="CV56" i="56"/>
  <c r="CV57" i="56"/>
  <c r="BO60" i="56"/>
  <c r="CV64" i="56"/>
  <c r="CV66" i="56"/>
  <c r="CV67" i="56"/>
  <c r="CV68" i="56"/>
  <c r="CV77" i="56"/>
  <c r="CV78" i="56"/>
  <c r="BO82" i="56"/>
  <c r="CV86" i="56"/>
  <c r="CV88" i="56"/>
  <c r="CV89" i="56"/>
  <c r="CV92" i="56"/>
  <c r="CV93" i="56"/>
  <c r="BO98" i="56"/>
  <c r="CV98" i="56" s="1"/>
  <c r="BO100" i="56"/>
  <c r="CV100" i="56" s="1"/>
  <c r="BO106" i="56"/>
  <c r="CV106" i="56" s="1"/>
  <c r="BO108" i="56"/>
  <c r="CV108" i="56" s="1"/>
  <c r="BO114" i="56"/>
  <c r="CV114" i="56" s="1"/>
  <c r="BO116" i="56"/>
  <c r="CV116" i="56" s="1"/>
  <c r="BO122" i="56"/>
  <c r="CV122" i="56" s="1"/>
  <c r="BO124" i="56"/>
  <c r="CV124" i="56" s="1"/>
  <c r="BO130" i="56"/>
  <c r="CV130" i="56" s="1"/>
  <c r="BO132" i="56"/>
  <c r="CV132" i="56" s="1"/>
  <c r="BO138" i="56"/>
  <c r="CV138" i="56" s="1"/>
  <c r="BO147" i="56"/>
  <c r="CV147" i="56" s="1"/>
  <c r="CV47" i="56"/>
  <c r="CV58" i="56"/>
  <c r="AK149" i="56"/>
  <c r="CV16" i="56"/>
  <c r="CV19" i="56"/>
  <c r="CV40" i="56"/>
  <c r="CV71" i="56"/>
  <c r="AQ8" i="56"/>
  <c r="BO14" i="56"/>
  <c r="CV14" i="56" s="1"/>
  <c r="CV21" i="56"/>
  <c r="CV24" i="56"/>
  <c r="BO47" i="56"/>
  <c r="BO49" i="56"/>
  <c r="CV53" i="56"/>
  <c r="BO58" i="56"/>
  <c r="CV62" i="56"/>
  <c r="CV65" i="56"/>
  <c r="BO69" i="56"/>
  <c r="CV69" i="56" s="1"/>
  <c r="CV73" i="56"/>
  <c r="CV75" i="56"/>
  <c r="BO79" i="56"/>
  <c r="CV79" i="56" s="1"/>
  <c r="CV84" i="56"/>
  <c r="BO90" i="56"/>
  <c r="CV96" i="56"/>
  <c r="CV104" i="56"/>
  <c r="CV112" i="56"/>
  <c r="CV120" i="56"/>
  <c r="CV128" i="56"/>
  <c r="CV136" i="56"/>
  <c r="CV145" i="56"/>
  <c r="CV94" i="56"/>
  <c r="CV102" i="56"/>
  <c r="CV110" i="56"/>
  <c r="CV118" i="56"/>
  <c r="CV126" i="56"/>
  <c r="CV134" i="56"/>
  <c r="CV141" i="56"/>
  <c r="CV143" i="56"/>
  <c r="AQ149" i="56" l="1"/>
  <c r="BO8" i="56"/>
  <c r="BO149" i="56" s="1"/>
  <c r="CV8" i="56" l="1"/>
  <c r="CV149" i="56" s="1"/>
  <c r="L72" i="11" l="1"/>
  <c r="K72" i="11"/>
  <c r="K71" i="11"/>
  <c r="L71" i="11" s="1"/>
  <c r="L56" i="11"/>
  <c r="L55" i="11"/>
  <c r="K56" i="11"/>
  <c r="K55" i="11"/>
  <c r="L48" i="11"/>
  <c r="L45" i="11"/>
  <c r="K48" i="11"/>
  <c r="K45" i="11"/>
  <c r="L38" i="11"/>
  <c r="K38" i="11"/>
  <c r="L26" i="11"/>
  <c r="L27" i="11"/>
  <c r="L28" i="11"/>
  <c r="L29" i="11"/>
  <c r="L30" i="11"/>
  <c r="L31" i="11"/>
  <c r="L32" i="11"/>
  <c r="L33" i="11"/>
  <c r="L25" i="11"/>
  <c r="K26" i="11"/>
  <c r="K27" i="11"/>
  <c r="K28" i="11"/>
  <c r="K29" i="11"/>
  <c r="K30" i="11"/>
  <c r="K31" i="11"/>
  <c r="K32" i="11"/>
  <c r="K33" i="11"/>
  <c r="K25" i="11"/>
  <c r="L16" i="11"/>
  <c r="L17" i="11"/>
  <c r="L18" i="11"/>
  <c r="L19" i="11"/>
  <c r="L20" i="11"/>
  <c r="L21" i="11"/>
  <c r="L22" i="11"/>
  <c r="L23" i="11"/>
  <c r="L15" i="11"/>
  <c r="K16" i="11"/>
  <c r="K17" i="11"/>
  <c r="K18" i="11"/>
  <c r="K19" i="11"/>
  <c r="K20" i="11"/>
  <c r="K21" i="11"/>
  <c r="K22" i="11"/>
  <c r="K23" i="11"/>
  <c r="K15" i="11"/>
  <c r="L8" i="11"/>
  <c r="L9" i="11"/>
  <c r="L10" i="11"/>
  <c r="L11" i="11"/>
  <c r="L12" i="11"/>
  <c r="L7" i="11"/>
  <c r="K8" i="11"/>
  <c r="K9" i="11"/>
  <c r="K10" i="11"/>
  <c r="K11" i="11"/>
  <c r="K12" i="11"/>
  <c r="K7" i="11"/>
  <c r="K56" i="10"/>
  <c r="K55" i="10"/>
  <c r="K54" i="10"/>
  <c r="K50" i="10"/>
  <c r="K49" i="10"/>
  <c r="K48" i="10"/>
  <c r="K47" i="10"/>
  <c r="K46" i="10"/>
  <c r="K45" i="10"/>
  <c r="K44" i="10"/>
  <c r="K43" i="10"/>
  <c r="K42" i="10"/>
  <c r="K40" i="10"/>
  <c r="K39" i="10"/>
  <c r="K38" i="10"/>
  <c r="K37" i="10"/>
  <c r="K35" i="10"/>
  <c r="K31" i="10"/>
  <c r="K29" i="10"/>
  <c r="K27" i="10"/>
  <c r="K24" i="10"/>
  <c r="K23" i="10"/>
  <c r="K21" i="10"/>
  <c r="K20" i="10"/>
  <c r="K19" i="10"/>
  <c r="K18" i="10"/>
  <c r="K17" i="10"/>
  <c r="K9" i="10"/>
  <c r="K10" i="10"/>
  <c r="K11" i="10"/>
  <c r="K12" i="10"/>
  <c r="K14" i="10"/>
  <c r="K15" i="10"/>
  <c r="J68" i="10"/>
  <c r="J67" i="10"/>
  <c r="J66" i="10"/>
  <c r="J64" i="10"/>
  <c r="J63" i="10"/>
  <c r="J62" i="10"/>
  <c r="J61" i="10"/>
  <c r="J60" i="10"/>
  <c r="J59" i="10"/>
  <c r="J58" i="10"/>
  <c r="J56" i="10"/>
  <c r="J55" i="10"/>
  <c r="J54" i="10"/>
  <c r="J50" i="10"/>
  <c r="J49" i="10"/>
  <c r="J48" i="10"/>
  <c r="J47" i="10"/>
  <c r="J46" i="10"/>
  <c r="J45" i="10"/>
  <c r="J44" i="10"/>
  <c r="J43" i="10"/>
  <c r="J42" i="10"/>
  <c r="J40" i="10"/>
  <c r="J39" i="10"/>
  <c r="J38" i="10"/>
  <c r="J37" i="10"/>
  <c r="J35" i="10"/>
  <c r="J34" i="10"/>
  <c r="J33" i="10"/>
  <c r="J31" i="10"/>
  <c r="J30" i="10"/>
  <c r="J29" i="10"/>
  <c r="J28" i="10"/>
  <c r="J27" i="10"/>
  <c r="J26" i="10"/>
  <c r="J24" i="10"/>
  <c r="J23" i="10"/>
  <c r="J21" i="10"/>
  <c r="J20" i="10"/>
  <c r="J19" i="10"/>
  <c r="J18" i="10"/>
  <c r="J17" i="10"/>
  <c r="J8" i="10"/>
  <c r="J9" i="10"/>
  <c r="J10" i="10"/>
  <c r="J11" i="10"/>
  <c r="J12" i="10"/>
  <c r="J13" i="10"/>
  <c r="J14" i="10"/>
  <c r="J15" i="10"/>
  <c r="J7" i="10"/>
  <c r="I68" i="10" l="1"/>
  <c r="I67" i="10"/>
  <c r="I66" i="10"/>
  <c r="I65" i="10"/>
  <c r="I64" i="10"/>
  <c r="I63" i="10"/>
  <c r="I62" i="10"/>
  <c r="I61" i="10"/>
  <c r="I60" i="10"/>
  <c r="I59" i="10"/>
  <c r="I58" i="10"/>
  <c r="I57" i="10"/>
  <c r="I56" i="10"/>
  <c r="I55" i="10"/>
  <c r="I50" i="10"/>
  <c r="I49" i="10"/>
  <c r="I48" i="10"/>
  <c r="I47" i="10"/>
  <c r="I46" i="10"/>
  <c r="I45" i="10"/>
  <c r="I44" i="10"/>
  <c r="I43" i="10"/>
  <c r="I42" i="10"/>
  <c r="I41" i="10"/>
  <c r="I40" i="10"/>
  <c r="I39" i="10"/>
  <c r="I38" i="10"/>
  <c r="I37" i="10"/>
  <c r="I36" i="10"/>
  <c r="I35" i="10"/>
  <c r="I34" i="10"/>
  <c r="I31" i="10"/>
  <c r="I29" i="10"/>
  <c r="I27" i="10"/>
  <c r="I24" i="10"/>
  <c r="I23" i="10"/>
  <c r="I22" i="10"/>
  <c r="I21" i="10"/>
  <c r="I20" i="10"/>
  <c r="I19" i="10"/>
  <c r="I18" i="10"/>
  <c r="I17" i="10"/>
  <c r="I16" i="10"/>
  <c r="I15" i="10"/>
  <c r="I14" i="10"/>
  <c r="I12" i="10"/>
  <c r="I11" i="10"/>
  <c r="I10" i="10"/>
  <c r="I9" i="10"/>
  <c r="I76" i="11"/>
  <c r="I75" i="11"/>
  <c r="I74" i="11"/>
  <c r="I73" i="11"/>
  <c r="I69" i="11"/>
  <c r="I68" i="11"/>
  <c r="I67" i="11"/>
  <c r="I66" i="11"/>
  <c r="I65" i="11"/>
  <c r="I64" i="11"/>
  <c r="I63" i="11"/>
  <c r="I62" i="11"/>
  <c r="I61" i="11"/>
  <c r="I60" i="11"/>
  <c r="I59" i="11"/>
  <c r="I58" i="11"/>
  <c r="I57" i="11"/>
  <c r="I53" i="11"/>
  <c r="I52" i="11"/>
  <c r="I51" i="11"/>
  <c r="I50" i="11"/>
  <c r="I49" i="11"/>
  <c r="I47" i="11"/>
  <c r="I46" i="11"/>
  <c r="I43" i="11"/>
  <c r="I42" i="11"/>
  <c r="I41" i="11"/>
  <c r="I40" i="11"/>
  <c r="I39" i="11"/>
  <c r="I37" i="11"/>
  <c r="I36" i="11"/>
  <c r="I35" i="11"/>
  <c r="I17" i="11"/>
  <c r="I13" i="11"/>
  <c r="I10" i="11"/>
  <c r="A2" i="14" l="1"/>
  <c r="A2" i="54"/>
  <c r="A2" i="25" l="1"/>
  <c r="L70" i="11" l="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J65" i="10"/>
  <c r="J57"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J78" i="11" l="1"/>
  <c r="K78" i="11"/>
  <c r="L78" i="11"/>
  <c r="L69" i="10"/>
  <c r="K69" i="10"/>
  <c r="F78" i="11"/>
  <c r="F69" i="10"/>
  <c r="G69" i="10"/>
  <c r="G78" i="11"/>
  <c r="L38" i="14"/>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H64" i="10"/>
  <c r="H54" i="10"/>
  <c r="I54" i="10" s="1"/>
  <c r="H55" i="10"/>
  <c r="H56" i="10"/>
  <c r="H42" i="10"/>
  <c r="H43" i="10"/>
  <c r="H44" i="10"/>
  <c r="H45" i="10"/>
  <c r="H46" i="10"/>
  <c r="H47" i="10"/>
  <c r="H48" i="10"/>
  <c r="H49" i="10"/>
  <c r="H50" i="10"/>
  <c r="H38" i="10"/>
  <c r="H39" i="10"/>
  <c r="H40" i="10"/>
  <c r="H34" i="10"/>
  <c r="H35" i="10"/>
  <c r="H31" i="10"/>
  <c r="H29" i="10"/>
  <c r="H27" i="10"/>
  <c r="H23" i="10"/>
  <c r="H24" i="10"/>
  <c r="H17" i="10"/>
  <c r="H18" i="10"/>
  <c r="H19" i="10"/>
  <c r="H20" i="10"/>
  <c r="H21" i="10"/>
  <c r="H14" i="10"/>
  <c r="H15" i="10"/>
  <c r="H9" i="10"/>
  <c r="H10" i="10"/>
  <c r="H11" i="10"/>
  <c r="H12" i="10"/>
  <c r="A2" i="24"/>
  <c r="A2" i="11"/>
  <c r="A2" i="10"/>
  <c r="C112" i="53"/>
  <c r="C104" i="53"/>
  <c r="C96" i="53"/>
  <c r="H53" i="10" s="1"/>
  <c r="C93" i="53"/>
  <c r="H52" i="10" s="1"/>
  <c r="C82" i="53"/>
  <c r="C71" i="53"/>
  <c r="C70" i="53" s="1"/>
  <c r="C64" i="53"/>
  <c r="C63" i="53" s="1"/>
  <c r="C57" i="53"/>
  <c r="H30" i="10" s="1"/>
  <c r="I30" i="10" s="1"/>
  <c r="C41" i="53"/>
  <c r="H28" i="10" s="1"/>
  <c r="I28" i="10" s="1"/>
  <c r="C35" i="53"/>
  <c r="H26" i="10" s="1"/>
  <c r="I26" i="10" s="1"/>
  <c r="C31" i="53"/>
  <c r="C25" i="53"/>
  <c r="H13" i="10"/>
  <c r="I13" i="10" s="1"/>
  <c r="C9" i="53"/>
  <c r="H8" i="10" s="1"/>
  <c r="I8" i="10" s="1"/>
  <c r="C7" i="53"/>
  <c r="H7" i="10" s="1"/>
  <c r="I7" i="10" s="1"/>
  <c r="I53" i="10" l="1"/>
  <c r="J53" i="10"/>
  <c r="I52" i="10"/>
  <c r="J52" i="10"/>
  <c r="H22" i="10"/>
  <c r="H37" i="10"/>
  <c r="H36" i="10" s="1"/>
  <c r="H33" i="10"/>
  <c r="I33" i="10" s="1"/>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E58" i="11"/>
  <c r="E65" i="10"/>
  <c r="E57" i="10"/>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M375" i="14" s="1"/>
  <c r="H64" i="11"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N253" i="14" s="1"/>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N108" i="14" s="1"/>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H16" i="10"/>
  <c r="H65" i="10"/>
  <c r="C77" i="10" s="1"/>
  <c r="H57" i="10"/>
  <c r="H41" i="10"/>
  <c r="H51" i="10"/>
  <c r="I51" i="10" s="1"/>
  <c r="H25" i="10"/>
  <c r="I25" i="10" s="1"/>
  <c r="H6" i="10"/>
  <c r="I6" i="10" s="1"/>
  <c r="F133" i="24" l="1"/>
  <c r="F90" i="24"/>
  <c r="F44" i="24"/>
  <c r="J51" i="10"/>
  <c r="J69" i="10" s="1"/>
  <c r="F5" i="24"/>
  <c r="D400" i="14"/>
  <c r="H108" i="14"/>
  <c r="H32" i="10"/>
  <c r="M430" i="14"/>
  <c r="H77" i="11" s="1"/>
  <c r="I77" i="11" s="1"/>
  <c r="E400" i="14"/>
  <c r="I400" i="14"/>
  <c r="G400" i="14"/>
  <c r="E382" i="14"/>
  <c r="M355" i="14"/>
  <c r="H62" i="11" s="1"/>
  <c r="L334" i="14"/>
  <c r="F312" i="14"/>
  <c r="J312" i="14"/>
  <c r="F253" i="14"/>
  <c r="G253" i="14"/>
  <c r="D253" i="14"/>
  <c r="H253" i="14"/>
  <c r="K253" i="14"/>
  <c r="E253" i="14"/>
  <c r="M233" i="14"/>
  <c r="H40" i="11" s="1"/>
  <c r="F193" i="14"/>
  <c r="L193" i="14"/>
  <c r="M129" i="14"/>
  <c r="H27" i="11" s="1"/>
  <c r="I27" i="11" s="1"/>
  <c r="I108" i="14"/>
  <c r="J108" i="14"/>
  <c r="L108" i="14"/>
  <c r="I43" i="14"/>
  <c r="G43" i="14"/>
  <c r="H43" i="14"/>
  <c r="L43" i="14"/>
  <c r="C400" i="14"/>
  <c r="M365" i="14"/>
  <c r="H63" i="11" s="1"/>
  <c r="E312" i="14"/>
  <c r="I382" i="14"/>
  <c r="M278" i="14"/>
  <c r="H50" i="11" s="1"/>
  <c r="H312" i="14"/>
  <c r="M12" i="14"/>
  <c r="H8" i="11" s="1"/>
  <c r="I8" i="11" s="1"/>
  <c r="M85" i="14"/>
  <c r="H20" i="11" s="1"/>
  <c r="I20" i="11" s="1"/>
  <c r="K6" i="14"/>
  <c r="J400" i="14"/>
  <c r="M38" i="14"/>
  <c r="H12" i="11" s="1"/>
  <c r="I12" i="11" s="1"/>
  <c r="D193" i="14"/>
  <c r="N382" i="14"/>
  <c r="M119" i="14"/>
  <c r="H26" i="11" s="1"/>
  <c r="I26" i="11" s="1"/>
  <c r="J193" i="14"/>
  <c r="M335" i="14"/>
  <c r="H59" i="11" s="1"/>
  <c r="K382" i="14"/>
  <c r="M210" i="14"/>
  <c r="H37" i="11" s="1"/>
  <c r="M322" i="14"/>
  <c r="H56" i="11" s="1"/>
  <c r="I56" i="11" s="1"/>
  <c r="M7" i="14"/>
  <c r="H7" i="11" s="1"/>
  <c r="I7" i="11" s="1"/>
  <c r="M229" i="14"/>
  <c r="H39" i="11" s="1"/>
  <c r="C85" i="11" s="1"/>
  <c r="H400" i="14"/>
  <c r="M338" i="14"/>
  <c r="H60" i="11" s="1"/>
  <c r="J6" i="14"/>
  <c r="F43" i="14"/>
  <c r="L400" i="14"/>
  <c r="I6" i="14"/>
  <c r="K108" i="14"/>
  <c r="E193" i="14"/>
  <c r="L253" i="14"/>
  <c r="M419" i="14"/>
  <c r="H73" i="11" s="1"/>
  <c r="M40" i="14"/>
  <c r="H13" i="11" s="1"/>
  <c r="M287" i="14"/>
  <c r="H51" i="11" s="1"/>
  <c r="M425" i="14"/>
  <c r="H75" i="11" s="1"/>
  <c r="M149" i="14"/>
  <c r="H29" i="11" s="1"/>
  <c r="I29" i="11" s="1"/>
  <c r="I193" i="14"/>
  <c r="I253" i="14"/>
  <c r="M269" i="14"/>
  <c r="H48" i="11" s="1"/>
  <c r="I48" i="11" s="1"/>
  <c r="M396" i="14"/>
  <c r="H69" i="11" s="1"/>
  <c r="M53" i="14"/>
  <c r="H16" i="11" s="1"/>
  <c r="I16" i="11" s="1"/>
  <c r="K43" i="14"/>
  <c r="E108" i="14"/>
  <c r="G193" i="14"/>
  <c r="F382" i="14"/>
  <c r="C312" i="14"/>
  <c r="E43" i="14"/>
  <c r="M249" i="14"/>
  <c r="H43" i="11" s="1"/>
  <c r="J253" i="14"/>
  <c r="M302" i="14"/>
  <c r="H53" i="11" s="1"/>
  <c r="M378" i="14"/>
  <c r="H65" i="11" s="1"/>
  <c r="M401" i="14"/>
  <c r="H71" i="11" s="1"/>
  <c r="I71" i="11" s="1"/>
  <c r="F6" i="14"/>
  <c r="M17" i="14"/>
  <c r="H9" i="11" s="1"/>
  <c r="I9" i="11" s="1"/>
  <c r="N6" i="14"/>
  <c r="H6" i="14"/>
  <c r="L6" i="14"/>
  <c r="E334" i="14"/>
  <c r="N334" i="14"/>
  <c r="G334" i="14"/>
  <c r="K334" i="14"/>
  <c r="F334" i="14"/>
  <c r="I334" i="14"/>
  <c r="G382" i="14"/>
  <c r="L382" i="14"/>
  <c r="K193" i="14"/>
  <c r="M390" i="14"/>
  <c r="H68" i="11" s="1"/>
  <c r="J382" i="14"/>
  <c r="K400" i="14"/>
  <c r="M109" i="14"/>
  <c r="H25" i="11" s="1"/>
  <c r="I25" i="11" s="1"/>
  <c r="M243" i="14"/>
  <c r="H42" i="11" s="1"/>
  <c r="M183" i="14"/>
  <c r="H33" i="11" s="1"/>
  <c r="I33" i="11" s="1"/>
  <c r="M297" i="14"/>
  <c r="H52" i="11" s="1"/>
  <c r="M422" i="14"/>
  <c r="H74" i="11" s="1"/>
  <c r="J43" i="14"/>
  <c r="N43" i="14"/>
  <c r="G108" i="14"/>
  <c r="H334" i="14"/>
  <c r="F400" i="14"/>
  <c r="M427" i="14"/>
  <c r="H76" i="11" s="1"/>
  <c r="H193" i="14"/>
  <c r="M98" i="14"/>
  <c r="H23" i="11" s="1"/>
  <c r="I23" i="11" s="1"/>
  <c r="D108" i="14"/>
  <c r="C334" i="14"/>
  <c r="G6" i="14"/>
  <c r="I312" i="14"/>
  <c r="G312" i="14"/>
  <c r="J334" i="14"/>
  <c r="L312" i="14"/>
  <c r="D6" i="14"/>
  <c r="D43" i="14"/>
  <c r="M77" i="14"/>
  <c r="H19" i="11" s="1"/>
  <c r="I19" i="11" s="1"/>
  <c r="M241" i="14"/>
  <c r="H41" i="11" s="1"/>
  <c r="D312" i="14"/>
  <c r="D334" i="14"/>
  <c r="D382" i="14"/>
  <c r="M261" i="14"/>
  <c r="H46" i="11" s="1"/>
  <c r="M410" i="14"/>
  <c r="H72" i="11" s="1"/>
  <c r="I72" i="11" s="1"/>
  <c r="M31" i="14"/>
  <c r="H11" i="11" s="1"/>
  <c r="I11" i="11" s="1"/>
  <c r="M348" i="14"/>
  <c r="H61" i="11" s="1"/>
  <c r="E6" i="14"/>
  <c r="M194" i="14"/>
  <c r="H35" i="11" s="1"/>
  <c r="M266" i="14"/>
  <c r="H47" i="11" s="1"/>
  <c r="M276" i="14"/>
  <c r="H49" i="11" s="1"/>
  <c r="M331" i="14"/>
  <c r="H57" i="11" s="1"/>
  <c r="M44" i="14"/>
  <c r="H15" i="11" s="1"/>
  <c r="I15" i="11" s="1"/>
  <c r="F108" i="14"/>
  <c r="M67" i="14"/>
  <c r="H18" i="11" s="1"/>
  <c r="I18" i="11" s="1"/>
  <c r="M26" i="14"/>
  <c r="H10" i="11" s="1"/>
  <c r="M313" i="14"/>
  <c r="H55" i="11" s="1"/>
  <c r="I55" i="11" s="1"/>
  <c r="M167" i="14"/>
  <c r="H31" i="11" s="1"/>
  <c r="I31" i="11" s="1"/>
  <c r="M204" i="14"/>
  <c r="H36" i="11" s="1"/>
  <c r="M88" i="14"/>
  <c r="H21" i="11" s="1"/>
  <c r="I21" i="11" s="1"/>
  <c r="M159" i="14"/>
  <c r="H30" i="11" s="1"/>
  <c r="I30" i="11" s="1"/>
  <c r="M220" i="14"/>
  <c r="H38" i="11" s="1"/>
  <c r="I38" i="11" s="1"/>
  <c r="C382" i="14"/>
  <c r="M94" i="14"/>
  <c r="H22" i="11" s="1"/>
  <c r="I22" i="11" s="1"/>
  <c r="M383" i="14"/>
  <c r="H67" i="11" s="1"/>
  <c r="M139" i="14"/>
  <c r="H28" i="11" s="1"/>
  <c r="I28" i="11" s="1"/>
  <c r="M177" i="14"/>
  <c r="H32" i="11" s="1"/>
  <c r="I32" i="11" s="1"/>
  <c r="C253" i="14"/>
  <c r="M254" i="14"/>
  <c r="H45" i="11" s="1"/>
  <c r="I45" i="11" s="1"/>
  <c r="C193" i="14"/>
  <c r="C108" i="14"/>
  <c r="C43" i="14"/>
  <c r="M57" i="14"/>
  <c r="H17" i="11" s="1"/>
  <c r="C6" i="14"/>
  <c r="C116" i="53"/>
  <c r="E78" i="11"/>
  <c r="E69" i="10"/>
  <c r="C76" i="10"/>
  <c r="F149" i="24" l="1"/>
  <c r="H69" i="10"/>
  <c r="I69" i="10" s="1"/>
  <c r="I32" i="10"/>
  <c r="C75" i="10"/>
  <c r="C78" i="10" s="1"/>
  <c r="D75" i="10" s="1"/>
  <c r="L433" i="14"/>
  <c r="C95" i="10" s="1"/>
  <c r="H58" i="1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I54" i="11" s="1"/>
  <c r="H34" i="11"/>
  <c r="I34" i="11" s="1"/>
  <c r="H70" i="11"/>
  <c r="H66" i="11"/>
  <c r="H24" i="11"/>
  <c r="I24" i="11" s="1"/>
  <c r="H44" i="11"/>
  <c r="I44" i="11" s="1"/>
  <c r="C433" i="14"/>
  <c r="C81" i="10" s="1"/>
  <c r="H14" i="11"/>
  <c r="I14" i="11" s="1"/>
  <c r="M6" i="14"/>
  <c r="C84" i="11" l="1"/>
  <c r="I70" i="11"/>
  <c r="C96" i="10"/>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text>
        <r>
          <rPr>
            <b/>
            <sz val="9"/>
            <color indexed="81"/>
            <rFont val="Arial"/>
            <family val="2"/>
          </rPr>
          <t>Importe de los ingresos que obtiene el municipio por la solicitud en uso a perpetuidad o temporal lotes en los cementerios municipales de dominio público.</t>
        </r>
      </text>
    </comment>
    <comment ref="B39" authorId="3" shapeId="0">
      <text>
        <r>
          <rPr>
            <b/>
            <sz val="12"/>
            <color indexed="81"/>
            <rFont val="Arial"/>
            <family val="2"/>
          </rPr>
          <t>Importe del Ingreso obtenido por las rentas o concesión de toda clase de bienes propiedad del municipio y se encuentran incorporados al dominio público.</t>
        </r>
      </text>
    </comment>
    <comment ref="B40" authorId="2" shapeId="0">
      <text>
        <r>
          <rPr>
            <b/>
            <sz val="12"/>
            <color indexed="81"/>
            <rFont val="Arial"/>
            <family val="2"/>
          </rPr>
          <t xml:space="preserve">DEROGADO
</t>
        </r>
      </text>
    </comment>
    <comment ref="B41"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text>
        <r>
          <rPr>
            <b/>
            <sz val="12"/>
            <color indexed="81"/>
            <rFont val="Arial"/>
            <family val="2"/>
          </rPr>
          <t>Importe de los ingresos que obtiene el municipio por la prestación del servicio del registro civil, a domicilio o fuera del horario de oficina.</t>
        </r>
      </text>
    </comment>
    <comment ref="B54"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text>
        <r>
          <rPr>
            <b/>
            <sz val="12"/>
            <color indexed="81"/>
            <rFont val="Arial"/>
            <family val="2"/>
          </rPr>
          <t>Importe de la indemnización causada por la falta de pago oportuno de los ingresos señalados en el título de derechos de la ley de ingresos.</t>
        </r>
      </text>
    </comment>
    <comment ref="B59"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text>
        <r>
          <rPr>
            <sz val="12"/>
            <color indexed="81"/>
            <rFont val="Arial"/>
            <family val="2"/>
          </rPr>
          <t xml:space="preserve">Son los ingresos por contraprestaciones por los servicios que preste el Estado en sus funciones de derecho privado.
</t>
        </r>
      </text>
    </comment>
    <comment ref="B64"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text>
        <r>
          <rPr>
            <b/>
            <sz val="12"/>
            <color indexed="81"/>
            <rFont val="Arial"/>
            <family val="2"/>
          </rPr>
          <t xml:space="preserve">DEROGADO
</t>
        </r>
      </text>
    </comment>
    <comment ref="B69"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text>
        <r>
          <rPr>
            <b/>
            <sz val="12"/>
            <color indexed="81"/>
            <rFont val="Arial"/>
            <family val="2"/>
          </rPr>
          <t>Importe de los ingresos derivados de incentivos por la colaboración en el cobro de las contribuciones.</t>
        </r>
      </text>
    </comment>
    <comment ref="B73" authorId="3" shapeId="0">
      <text>
        <r>
          <rPr>
            <b/>
            <sz val="12"/>
            <color indexed="81"/>
            <rFont val="Arial"/>
            <family val="2"/>
          </rPr>
          <t>Importe de los ingresos por sanciones no fiscales de carácter monetario.</t>
        </r>
      </text>
    </comment>
    <comment ref="B74" authorId="3" shapeId="0">
      <text>
        <r>
          <rPr>
            <b/>
            <sz val="12"/>
            <color indexed="81"/>
            <rFont val="Arial"/>
            <family val="2"/>
          </rPr>
          <t>Importe de los ingresos por indemnizaciones.</t>
        </r>
      </text>
    </comment>
    <comment ref="B75" authorId="3" shapeId="0">
      <text>
        <r>
          <rPr>
            <b/>
            <sz val="12"/>
            <color indexed="81"/>
            <rFont val="Arial"/>
            <family val="2"/>
          </rPr>
          <t>Importe de los reintegros por ingresos de aprovechamientos por sostenimiento de las escuelas y servicio de vigilancia forestal.</t>
        </r>
      </text>
    </comment>
    <comment ref="B76" authorId="3" shapeId="0">
      <text>
        <r>
          <rPr>
            <b/>
            <sz val="12"/>
            <color indexed="81"/>
            <rFont val="Arial"/>
            <family val="2"/>
          </rPr>
          <t>Importe de los ingresos por obras públicas que realiza el ente público.</t>
        </r>
      </text>
    </comment>
    <comment ref="B77" authorId="3" shapeId="0">
      <text>
        <r>
          <rPr>
            <b/>
            <sz val="12"/>
            <color indexed="81"/>
            <rFont val="Arial"/>
            <family val="2"/>
          </rPr>
          <t>Importe de los ingresos por aplicación de gravámenes sobre herencias, legados y donaciones.</t>
        </r>
      </text>
    </comment>
    <comment ref="B78"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text>
        <r>
          <rPr>
            <b/>
            <sz val="12"/>
            <color indexed="81"/>
            <rFont val="Arial"/>
            <family val="2"/>
          </rPr>
          <t>Son los ingresos propios obtenidos por las Empresas Productivas del Estado por sus actividades de producción, comercialización o prestación de servicios.</t>
        </r>
      </text>
    </comment>
    <comment ref="B85"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text>
        <r>
          <rPr>
            <b/>
            <sz val="12"/>
            <color indexed="81"/>
            <rFont val="Arial"/>
            <family val="2"/>
          </rPr>
          <t>Importe de los ingresos de las Entidades Federativas y Municipios que se derivan del Sistema Nacional de Coordinación Fiscal federal.</t>
        </r>
      </text>
    </comment>
    <comment ref="B95" authorId="3" shapeId="0">
      <text>
        <r>
          <rPr>
            <b/>
            <sz val="12"/>
            <color indexed="81"/>
            <rFont val="Arial"/>
            <family val="2"/>
          </rPr>
          <t>Importe de los ingresos de los Municipios que se derivan del Sistema Nacional de Coordinación Fiscal Estatal.</t>
        </r>
      </text>
    </comment>
    <comment ref="B96"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text>
        <r>
          <rPr>
            <sz val="8"/>
            <color indexed="81"/>
            <rFont val="Tahoma"/>
            <family val="2"/>
          </rPr>
          <t xml:space="preserve">Son los ingresos que reciben los entes públicos con el objeto de sufragar gastos inherentes a sus atribuciones
</t>
        </r>
      </text>
    </comment>
    <comment ref="B106" authorId="3" shapeId="0">
      <text>
        <r>
          <rPr>
            <b/>
            <sz val="12"/>
            <color indexed="81"/>
            <rFont val="Arial"/>
            <family val="2"/>
          </rPr>
          <t xml:space="preserve">
DEROGADO</t>
        </r>
      </text>
    </comment>
    <comment ref="B107"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text>
        <r>
          <rPr>
            <b/>
            <sz val="12"/>
            <color indexed="81"/>
            <rFont val="Arial"/>
            <family val="2"/>
          </rPr>
          <t>DEROGADO</t>
        </r>
      </text>
    </comment>
    <comment ref="B109"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text>
        <r>
          <rPr>
            <b/>
            <sz val="12"/>
            <color indexed="81"/>
            <rFont val="Arial"/>
            <family val="2"/>
          </rPr>
          <t>Son los ingresos que reciben los entes públicos por transferencias del Fondo Mexicano del Petróleo para la Estabilización y el Desarrollo.</t>
        </r>
      </text>
    </comment>
    <comment ref="B112"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<sst xmlns="http://schemas.openxmlformats.org/spreadsheetml/2006/main" count="2009" uniqueCount="1289">
  <si>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</si>
  <si>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</si>
  <si>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</si>
  <si>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</si>
  <si>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</si>
  <si>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</si>
  <si>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</si>
  <si>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</si>
  <si>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</si>
  <si>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</si>
  <si>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</si>
  <si>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</si>
  <si>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</si>
  <si>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</si>
  <si>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</si>
  <si>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</si>
  <si>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</si>
  <si>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</si>
  <si>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</si>
  <si>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</si>
  <si>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</si>
  <si>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</si>
  <si>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</si>
  <si>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</si>
  <si>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</si>
  <si>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</si>
  <si>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</si>
  <si>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</si>
  <si>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</si>
  <si>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</si>
  <si>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</si>
  <si>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</si>
  <si>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</si>
  <si>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</si>
  <si>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</si>
  <si>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</si>
  <si>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</si>
  <si>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</si>
  <si>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</si>
  <si>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</si>
  <si>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</si>
  <si>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</si>
  <si>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</si>
  <si>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</si>
  <si>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</si>
  <si>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</si>
  <si>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</si>
  <si>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</si>
  <si>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</si>
  <si>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</si>
  <si>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</si>
  <si>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</si>
  <si>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</si>
  <si>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</si>
  <si>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</si>
  <si>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</si>
  <si>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</si>
  <si>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</si>
  <si>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</si>
  <si>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</si>
  <si>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</si>
  <si>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</si>
  <si>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</si>
  <si>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</si>
  <si>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</si>
  <si>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</si>
  <si>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</si>
  <si>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</si>
  <si>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</si>
  <si>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</si>
  <si>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</si>
  <si>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</si>
  <si>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</si>
  <si>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</si>
  <si>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</si>
  <si>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</si>
  <si>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</si>
  <si>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</si>
  <si>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</si>
  <si>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</si>
  <si>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</si>
  <si>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</si>
  <si>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</si>
  <si>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</si>
  <si>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</si>
  <si>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</si>
  <si>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</si>
  <si>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</si>
  <si>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</si>
  <si>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</si>
  <si>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</si>
  <si>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</si>
  <si>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</si>
  <si>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</si>
  <si>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</si>
  <si>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</si>
  <si>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</si>
  <si>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</si>
  <si>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</si>
  <si>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</si>
  <si>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</si>
  <si>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</si>
  <si>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</si>
  <si>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</si>
  <si>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</si>
  <si>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</si>
  <si>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</si>
  <si>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</si>
  <si>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</si>
  <si>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</si>
  <si>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</si>
  <si>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</si>
  <si>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</si>
  <si>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</si>
  <si>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</si>
  <si>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</si>
  <si>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</si>
  <si>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</si>
  <si>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</si>
  <si>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</si>
  <si>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</si>
  <si>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</si>
  <si>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</si>
  <si>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</si>
  <si>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</si>
  <si>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</si>
  <si>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</si>
  <si>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</si>
  <si>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</si>
  <si>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</si>
  <si>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</si>
  <si>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</si>
  <si>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</si>
  <si>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</si>
  <si>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</si>
  <si>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</si>
  <si>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</si>
  <si>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</si>
  <si>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</si>
  <si>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</si>
  <si>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</si>
  <si>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</si>
  <si>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</si>
  <si>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</si>
  <si>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</si>
  <si>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</si>
  <si>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</si>
  <si>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</si>
  <si>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</si>
  <si>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</si>
  <si>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</si>
  <si>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</si>
  <si>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</si>
  <si>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</si>
  <si>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</si>
  <si>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</si>
  <si>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</si>
  <si>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</si>
  <si>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</si>
  <si>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</si>
  <si>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</si>
  <si>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</si>
  <si>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</si>
  <si>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</si>
  <si>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</si>
  <si>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</si>
  <si>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</si>
  <si>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</si>
  <si>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</si>
  <si>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</si>
  <si>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</si>
  <si>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</si>
  <si>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</si>
  <si>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</si>
  <si>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</si>
  <si>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</si>
  <si>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</si>
  <si>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</si>
  <si>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</si>
  <si>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</si>
  <si>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</si>
  <si>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</si>
  <si>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</si>
  <si>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</si>
  <si>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</si>
  <si>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</si>
  <si>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</si>
  <si>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</si>
  <si>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</si>
  <si>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</si>
  <si>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</si>
  <si>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</si>
  <si>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</si>
  <si>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</si>
  <si>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</si>
  <si>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</si>
  <si>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</si>
  <si>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</si>
  <si>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</si>
  <si>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</si>
  <si>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</si>
  <si>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</si>
  <si>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</si>
  <si>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</si>
  <si>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</si>
  <si>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</si>
  <si>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</si>
  <si>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</si>
  <si>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</si>
  <si>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</si>
  <si>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</si>
  <si>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</si>
  <si>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</si>
  <si>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</si>
  <si>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</si>
  <si>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</si>
  <si>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</si>
  <si>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</si>
  <si>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</si>
  <si>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</si>
  <si>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</si>
  <si>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</si>
  <si>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</si>
  <si>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</si>
  <si>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</si>
  <si>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</si>
  <si>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</si>
  <si>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</si>
  <si>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</si>
  <si>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</si>
  <si>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</si>
  <si>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</si>
  <si>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</si>
  <si>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</si>
  <si>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</si>
  <si>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</si>
  <si>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</si>
  <si>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</si>
  <si>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</si>
  <si>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</si>
  <si>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</si>
  <si>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</si>
  <si>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</si>
  <si>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</si>
  <si>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</si>
  <si>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</si>
  <si>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</si>
  <si>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</si>
  <si>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</si>
  <si>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</si>
  <si>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</si>
  <si>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</si>
  <si>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</si>
  <si>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</si>
  <si>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</si>
  <si>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</si>
  <si>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</si>
  <si>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</si>
  <si>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</si>
  <si>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</si>
  <si>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</si>
  <si>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</si>
  <si>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</si>
  <si>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</si>
  <si>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</si>
  <si>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</si>
  <si>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</si>
  <si>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</si>
  <si>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</si>
  <si>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</si>
  <si>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</si>
  <si>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</si>
  <si>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</si>
  <si>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</si>
  <si>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</si>
  <si>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</si>
  <si>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</si>
  <si>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</si>
  <si>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</si>
  <si>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</si>
  <si>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</si>
  <si>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</si>
  <si>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</si>
  <si>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</si>
  <si>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</si>
  <si>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</si>
  <si>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</si>
  <si>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</si>
  <si>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</si>
  <si>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</si>
  <si>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</si>
  <si>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</si>
  <si>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</si>
  <si>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</si>
  <si>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</si>
  <si>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</si>
  <si>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</si>
  <si>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</si>
  <si>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</si>
  <si>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</si>
  <si>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</si>
  <si>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</si>
  <si>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</si>
  <si>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</si>
  <si>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</si>
  <si>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</si>
  <si>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</si>
  <si>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</si>
  <si>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</si>
  <si>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</si>
  <si>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</si>
  <si>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</si>
  <si>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</si>
  <si>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</si>
  <si>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</si>
  <si>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</si>
  <si>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</si>
  <si>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</si>
  <si>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</si>
  <si>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</si>
  <si>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</si>
  <si>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</si>
  <si>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</si>
  <si>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</si>
  <si>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</si>
  <si>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</si>
  <si>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</si>
  <si>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</si>
  <si>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</si>
  <si>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</si>
  <si>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</si>
  <si>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</si>
  <si>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</si>
  <si>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</si>
  <si>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</si>
  <si>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</si>
  <si>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</si>
  <si>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</si>
  <si>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</si>
  <si>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</si>
  <si>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</si>
  <si>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</si>
  <si>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</si>
  <si>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</si>
  <si>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</si>
  <si>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</si>
  <si>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</si>
  <si>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</si>
  <si>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</si>
  <si>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</si>
  <si>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</si>
  <si>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</si>
  <si>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</si>
  <si>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</si>
  <si>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</si>
  <si>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</si>
  <si>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</si>
  <si>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</si>
  <si>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</si>
  <si>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</si>
  <si>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</si>
  <si>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</si>
  <si>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</si>
  <si>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</si>
  <si>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</si>
  <si>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</si>
  <si>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</si>
  <si>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</si>
  <si>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</si>
  <si>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</si>
  <si>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</si>
  <si>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</si>
  <si>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</si>
  <si>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</si>
  <si>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</si>
  <si>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</si>
  <si>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</si>
  <si>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</si>
  <si>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</si>
  <si>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</si>
  <si>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</si>
  <si>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</si>
  <si>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</si>
  <si>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</si>
  <si>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</si>
  <si>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</si>
  <si>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</si>
  <si>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</si>
  <si>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</si>
  <si>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</si>
  <si>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</si>
  <si>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</si>
  <si>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</si>
  <si>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</si>
  <si>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</si>
  <si>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</si>
  <si>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</si>
  <si>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</si>
  <si>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</si>
  <si>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</si>
  <si>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</si>
  <si>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</si>
  <si>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</si>
  <si>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</si>
  <si>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</si>
  <si>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</si>
  <si>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</si>
  <si>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</si>
  <si>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</si>
  <si>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</si>
  <si>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</si>
  <si>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</si>
  <si>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</si>
  <si>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</si>
  <si>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</si>
  <si>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</si>
  <si>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</si>
  <si>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</si>
  <si>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</si>
  <si>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</si>
  <si>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</si>
  <si>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</si>
  <si>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</si>
  <si>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</si>
  <si>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</si>
  <si>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</si>
  <si>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</si>
  <si>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</si>
  <si>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</si>
  <si>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</si>
  <si>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</si>
  <si>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</si>
  <si>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</si>
  <si>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</si>
  <si>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</si>
  <si>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</si>
  <si>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</si>
  <si>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</si>
  <si>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</si>
  <si>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</si>
  <si>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</si>
  <si>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</si>
  <si>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</si>
  <si>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</si>
  <si>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</si>
  <si>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</si>
  <si>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</si>
  <si>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</si>
  <si>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</si>
  <si>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</si>
  <si>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</si>
  <si>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</si>
  <si>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</si>
  <si>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</si>
  <si>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</si>
  <si>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</si>
  <si>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</si>
  <si>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</si>
  <si>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</si>
  <si>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</si>
  <si>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</si>
  <si>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</si>
  <si>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</si>
  <si>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</si>
  <si>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</si>
  <si>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</si>
  <si>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</si>
  <si>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</si>
  <si>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</si>
  <si>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</si>
  <si>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</si>
  <si>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</si>
  <si>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</si>
  <si>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</si>
  <si>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</si>
  <si>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</si>
  <si>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</si>
  <si>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</si>
  <si>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</si>
  <si>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</si>
  <si>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</si>
  <si>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</si>
  <si>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</si>
  <si>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</si>
  <si>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</si>
  <si>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</si>
  <si>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</si>
  <si>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</si>
  <si>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</si>
  <si>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</si>
  <si>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</si>
  <si>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</si>
  <si>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</si>
  <si>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</si>
  <si>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</si>
  <si>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</si>
  <si>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</si>
  <si>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</si>
  <si>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</si>
  <si>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</si>
  <si>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</si>
  <si>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</si>
  <si>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</si>
  <si>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</si>
  <si>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</si>
  <si>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</si>
  <si>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</si>
  <si>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</si>
  <si>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</si>
  <si>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</si>
  <si>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</si>
  <si>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</si>
  <si>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</si>
  <si>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</si>
  <si>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</si>
  <si>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</si>
  <si>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</si>
  <si>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</si>
  <si>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</si>
  <si>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</si>
  <si>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</si>
  <si>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</si>
  <si>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</si>
  <si>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</si>
  <si>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</si>
  <si>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</si>
  <si>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</si>
  <si>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</si>
  <si>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</si>
  <si>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</si>
  <si>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</si>
  <si>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</si>
  <si>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</si>
  <si>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</si>
  <si>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</si>
  <si>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</si>
  <si>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</si>
  <si>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</si>
  <si>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</si>
  <si>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</si>
  <si>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</si>
  <si>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</si>
  <si>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</si>
  <si>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</si>
  <si>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</si>
  <si>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</si>
  <si>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</si>
  <si>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</si>
  <si>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</si>
  <si>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</si>
  <si>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</si>
  <si>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</si>
  <si>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</si>
  <si>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</si>
  <si>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</si>
  <si>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</si>
  <si>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</si>
  <si>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</si>
  <si>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</si>
  <si>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</si>
  <si>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</si>
  <si>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</si>
  <si>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</si>
  <si>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</si>
  <si>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</si>
  <si>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</si>
  <si>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</si>
  <si>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</si>
  <si>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</si>
  <si>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</si>
  <si>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</si>
  <si>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</si>
  <si>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</si>
  <si>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</si>
  <si>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</si>
  <si>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</si>
  <si>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</si>
  <si>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</si>
  <si>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</si>
  <si>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</si>
  <si>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</si>
  <si>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</si>
  <si>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</si>
  <si>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</si>
  <si>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</si>
  <si>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</si>
  <si>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</si>
  <si>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</si>
  <si>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</si>
  <si>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</si>
  <si>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</si>
  <si>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</si>
  <si>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</si>
  <si>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</si>
  <si>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</si>
  <si>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</si>
  <si>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</si>
  <si>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</si>
  <si>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</si>
  <si>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</si>
  <si>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</si>
  <si>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</si>
  <si>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</si>
  <si>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</si>
  <si>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</si>
  <si>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</si>
  <si>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</si>
  <si>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</si>
  <si>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</si>
  <si>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</si>
  <si>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</si>
  <si>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</si>
  <si>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</si>
  <si>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</si>
  <si>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</si>
  <si>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</si>
  <si>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</si>
  <si>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</si>
  <si>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</si>
  <si>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</si>
  <si>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</si>
  <si>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</si>
  <si>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</si>
  <si>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</si>
  <si>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</si>
  <si>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</si>
  <si>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</si>
  <si>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</si>
  <si>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</si>
  <si>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</si>
  <si>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</si>
  <si>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</si>
  <si>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</si>
  <si>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</si>
  <si>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</si>
  <si>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</si>
  <si>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</si>
  <si>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</si>
  <si>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</si>
  <si>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</si>
  <si>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</si>
  <si>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</si>
  <si>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</si>
  <si>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</si>
  <si>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</si>
  <si>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</si>
  <si>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</si>
  <si>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</si>
  <si>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</si>
  <si>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</si>
  <si>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</si>
  <si>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</si>
  <si>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</si>
  <si>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</si>
  <si>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</si>
  <si>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</si>
  <si>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</si>
  <si>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</si>
  <si>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</si>
  <si>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</si>
  <si>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</si>
  <si>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</si>
  <si>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</si>
  <si>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</si>
  <si>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</si>
  <si>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</si>
  <si>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</si>
  <si>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</si>
  <si>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</si>
  <si>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</si>
  <si>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</si>
  <si>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</si>
  <si>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</si>
  <si>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</si>
  <si>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</si>
  <si>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</si>
  <si>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</si>
  <si>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</si>
  <si>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</si>
  <si>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</si>
  <si>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</si>
  <si>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</si>
  <si>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</si>
  <si>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</si>
  <si>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</si>
  <si>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</si>
  <si>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</si>
  <si>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</si>
  <si>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</si>
  <si>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</si>
  <si>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</si>
  <si>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</si>
  <si>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</si>
  <si>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</si>
  <si>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</si>
  <si>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</si>
  <si>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</si>
  <si>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</si>
  <si>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</si>
  <si>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</si>
  <si>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</si>
  <si>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</si>
  <si>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</si>
  <si>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</si>
  <si>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</si>
  <si>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</si>
  <si>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</si>
  <si>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</si>
  <si>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</si>
  <si>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</si>
  <si>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</si>
  <si>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</si>
  <si>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</si>
  <si>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</si>
  <si>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</si>
  <si>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</si>
  <si>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</si>
  <si>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</si>
  <si>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</si>
  <si>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</si>
  <si>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</si>
  <si>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</si>
  <si>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</si>
  <si>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</si>
  <si>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</si>
  <si>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</si>
  <si>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</si>
  <si>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</si>
  <si>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</si>
  <si>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</si>
  <si>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</si>
  <si>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</si>
  <si>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</si>
  <si>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</si>
  <si>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</si>
  <si>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</si>
  <si>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</si>
  <si>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</si>
  <si>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</si>
  <si>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</si>
  <si>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</si>
  <si>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</si>
  <si>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</si>
  <si>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</si>
  <si>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</si>
  <si>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</si>
  <si>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</si>
  <si>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</si>
  <si>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</si>
  <si>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</si>
  <si>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</si>
  <si>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</si>
  <si>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</si>
  <si>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</si>
  <si>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</si>
  <si>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</si>
  <si>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</si>
  <si>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</si>
  <si>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</si>
  <si>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</si>
  <si>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</si>
  <si>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</si>
  <si>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</si>
  <si>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</si>
  <si>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</si>
  <si>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</si>
  <si>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</si>
  <si>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</si>
  <si>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</si>
  <si>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</si>
  <si>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</si>
  <si>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</si>
  <si>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</si>
  <si>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</si>
  <si>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</si>
  <si>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</si>
  <si>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</si>
  <si>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</si>
  <si>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</si>
  <si>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</si>
  <si>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</si>
  <si>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</si>
  <si>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</si>
  <si>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</si>
  <si>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</si>
  <si>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</si>
  <si>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</si>
  <si>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</si>
  <si>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</si>
  <si>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</si>
  <si>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</si>
  <si>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</si>
  <si>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</si>
  <si>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</si>
  <si>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</si>
  <si>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</si>
  <si>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</si>
  <si>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</si>
  <si>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</si>
  <si>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</si>
  <si>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</si>
  <si>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</si>
  <si>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</si>
  <si>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</si>
  <si>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</si>
  <si>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</si>
  <si>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</si>
  <si>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</si>
  <si>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</si>
  <si>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</si>
  <si>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</si>
  <si>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</si>
  <si>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</si>
  <si>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</si>
  <si>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</si>
  <si>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</si>
  <si>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</si>
  <si>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</si>
  <si>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</si>
  <si>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</si>
  <si>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</si>
  <si>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</si>
  <si>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</si>
  <si>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</si>
  <si>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</si>
  <si>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</si>
  <si>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</si>
  <si>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</si>
  <si>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</si>
  <si>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Sindicatura</t>
  </si>
  <si>
    <t>Dirección General de Desarrollo Social y Humano</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</si>
  <si>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</si>
  <si>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</si>
  <si>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</si>
  <si>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</si>
  <si>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</si>
  <si>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</si>
  <si>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</si>
  <si>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</si>
  <si>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</si>
  <si>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</si>
  <si>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</si>
  <si>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</si>
  <si>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</si>
  <si>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</si>
  <si>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</si>
  <si>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</si>
  <si>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</si>
  <si>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</si>
  <si>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</si>
  <si>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</si>
  <si>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</si>
  <si>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</si>
  <si>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</si>
  <si>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</si>
  <si>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</si>
  <si>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</si>
  <si>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</si>
  <si>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</si>
  <si>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</si>
  <si>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</si>
  <si>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</si>
  <si>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</si>
  <si>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</si>
  <si>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</si>
  <si>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</si>
  <si>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</si>
  <si>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</si>
  <si>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</si>
  <si>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</si>
  <si>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</si>
  <si>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</si>
  <si>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</si>
  <si>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</si>
  <si>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</si>
  <si>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</si>
  <si>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</si>
  <si>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</si>
  <si>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</si>
  <si>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</si>
  <si>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</si>
  <si>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</si>
  <si>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</si>
  <si>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</si>
  <si>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</si>
  <si>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</si>
  <si>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</si>
  <si>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</si>
  <si>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</si>
  <si>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</si>
  <si>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</si>
  <si>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</si>
  <si>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</si>
  <si>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</si>
  <si>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</si>
  <si>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</si>
  <si>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</si>
  <si>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</si>
  <si>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</si>
  <si>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</si>
  <si>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</si>
  <si>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</si>
  <si>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</si>
  <si>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</si>
  <si>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</si>
  <si>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</si>
  <si>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</si>
  <si>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</si>
  <si>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</si>
  <si>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</si>
  <si>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</si>
  <si>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</si>
  <si>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</si>
  <si>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</si>
  <si>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</si>
  <si>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</si>
  <si>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</si>
  <si>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</si>
  <si>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</si>
  <si>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</si>
  <si>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</si>
  <si>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</si>
  <si>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</si>
  <si>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</si>
  <si>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</si>
  <si>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</si>
  <si>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</si>
  <si>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</si>
  <si>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</si>
  <si>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</si>
  <si>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</si>
  <si>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</si>
  <si>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</si>
  <si>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</si>
  <si>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</si>
  <si>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</si>
  <si>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</si>
  <si>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</si>
  <si>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</si>
  <si>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</si>
  <si>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</si>
  <si>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</si>
  <si>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</si>
  <si>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</si>
  <si>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</si>
  <si>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</si>
  <si>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</si>
  <si>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</si>
  <si>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</si>
  <si>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</si>
  <si>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</si>
  <si>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</si>
  <si>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</si>
  <si>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</si>
  <si>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</si>
  <si>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</si>
  <si>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</si>
  <si>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</si>
  <si>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</si>
  <si>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</si>
  <si>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</si>
  <si>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</si>
  <si>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</si>
  <si>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</si>
  <si>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</si>
  <si>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</si>
  <si>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</si>
  <si>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</si>
  <si>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</si>
  <si>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</si>
  <si>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</si>
  <si>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</si>
  <si>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</si>
  <si>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</si>
  <si>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</si>
  <si>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</si>
  <si>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</si>
  <si>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</si>
  <si>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</si>
  <si>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</si>
  <si>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</si>
  <si>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</si>
  <si>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</si>
  <si>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</si>
  <si>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</si>
  <si>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</si>
  <si>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</si>
  <si>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</si>
  <si>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</si>
  <si>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</si>
  <si>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</si>
  <si>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</si>
  <si>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</si>
  <si>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</si>
  <si>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</si>
  <si>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</si>
  <si>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</si>
  <si>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</si>
  <si>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</si>
  <si>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</si>
  <si>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</si>
  <si>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</si>
  <si>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</si>
  <si>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</si>
  <si>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</si>
  <si>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</si>
  <si>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</si>
  <si>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</si>
  <si>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</si>
  <si>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</si>
  <si>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</si>
  <si>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</si>
  <si>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</si>
  <si>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</si>
  <si>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</si>
  <si>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</si>
  <si>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</si>
  <si>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</si>
  <si>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</si>
  <si>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</si>
  <si>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</si>
  <si>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</si>
  <si>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</si>
  <si>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</si>
  <si>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</si>
  <si>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</si>
  <si>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</si>
  <si>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</si>
  <si>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</si>
  <si>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</si>
  <si>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</si>
  <si>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</si>
  <si>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</si>
  <si>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</si>
  <si>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</si>
  <si>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</si>
  <si>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</si>
  <si>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</si>
  <si>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</si>
  <si>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</si>
  <si>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</si>
  <si>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</si>
  <si>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</si>
  <si>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</si>
  <si>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</si>
  <si>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</si>
  <si>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</si>
  <si>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</si>
  <si>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</si>
  <si>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</si>
  <si>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</si>
  <si>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</si>
  <si>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</si>
  <si>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</si>
  <si>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</si>
  <si>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</si>
  <si>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</si>
  <si>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</si>
  <si>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</si>
  <si>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</si>
  <si>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</si>
  <si>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</si>
  <si>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</si>
  <si>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</si>
  <si>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</si>
  <si>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</si>
  <si>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</si>
  <si>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</si>
  <si>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</si>
  <si>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</si>
  <si>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</si>
  <si>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</si>
  <si>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</si>
  <si>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</si>
  <si>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</si>
  <si>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</si>
  <si>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</si>
  <si>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</si>
  <si>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</si>
  <si>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</si>
  <si>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</si>
  <si>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</si>
  <si>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</si>
  <si>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</si>
  <si>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</si>
  <si>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</si>
  <si>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</si>
  <si>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</si>
  <si>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</si>
  <si>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</si>
  <si>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</si>
  <si>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</si>
  <si>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</si>
  <si>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</si>
  <si>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</si>
  <si>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</si>
  <si>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</si>
  <si>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</si>
  <si>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</si>
  <si>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</si>
  <si>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</si>
  <si>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</si>
  <si>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</si>
  <si>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</si>
  <si>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</si>
  <si>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</si>
  <si>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</si>
  <si>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</si>
  <si>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</si>
  <si>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</si>
  <si>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</si>
  <si>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</si>
  <si>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</si>
  <si>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</si>
  <si>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</si>
  <si>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</si>
  <si>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</si>
  <si>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</si>
  <si>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</si>
  <si>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</si>
  <si>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</si>
  <si>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</si>
  <si>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</si>
  <si>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</si>
  <si>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</si>
  <si>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</si>
  <si>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</si>
  <si>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</si>
  <si>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</si>
  <si>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</si>
  <si>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</si>
  <si>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</si>
  <si>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</si>
  <si>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</si>
  <si>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</si>
  <si>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</si>
  <si>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</si>
  <si>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</si>
  <si>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</si>
  <si>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</si>
  <si>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Nombre del Municipio: Cabo Corrientes</t>
  </si>
  <si>
    <t>REGIDORES</t>
  </si>
  <si>
    <t>SALA DE REGIDORES</t>
  </si>
  <si>
    <t>SECRETARIA</t>
  </si>
  <si>
    <t>PRESIDENTE</t>
  </si>
  <si>
    <t>PRESIDENCIA</t>
  </si>
  <si>
    <t>SECRETARIO PARTICULAR A</t>
  </si>
  <si>
    <t>SECRETARIO PARTICULAR B</t>
  </si>
  <si>
    <t>SECRETARIA B</t>
  </si>
  <si>
    <t>ASISTENTE</t>
  </si>
  <si>
    <t>CHOFER</t>
  </si>
  <si>
    <t>SINDICO</t>
  </si>
  <si>
    <t>SINDICATURA</t>
  </si>
  <si>
    <t>JEFE DE JURIDICO</t>
  </si>
  <si>
    <t>AUXILIAR DE SINDICATURA</t>
  </si>
  <si>
    <t>SECRETARIO GENERAL</t>
  </si>
  <si>
    <t>SECRETARIA GENERAL</t>
  </si>
  <si>
    <t>CONTRALOR</t>
  </si>
  <si>
    <t>CONTRALORIA</t>
  </si>
  <si>
    <t>AUXILIAR</t>
  </si>
  <si>
    <t>ENCARGADO DE HACIENDA PUBLICA MUNICIPAL</t>
  </si>
  <si>
    <t>HACIENDA PUBLICA MUNICIPAL</t>
  </si>
  <si>
    <t>AUXILIAR DE HACIENDA PUBLICA</t>
  </si>
  <si>
    <t>JEFE DE EGRESOS</t>
  </si>
  <si>
    <t>JEFE DE CATASTRO</t>
  </si>
  <si>
    <t>JEFE DE ZOFEMAT</t>
  </si>
  <si>
    <t>AUXILIAR DE CATASTRO</t>
  </si>
  <si>
    <t>JEFE DE INGRESOS</t>
  </si>
  <si>
    <t>JEFE DE TURISMO</t>
  </si>
  <si>
    <t>AUXILIAR DE TURISMO</t>
  </si>
  <si>
    <t>JEFE DE TRANSPARENCIA</t>
  </si>
  <si>
    <t>UNIDAD DE TRANSPARENCIA</t>
  </si>
  <si>
    <t>JEFE DE PROVEDURIA</t>
  </si>
  <si>
    <t>PROVEDURIA/COMPRAS</t>
  </si>
  <si>
    <t>JEFE DE COMUNICACIÓN SOCIAL</t>
  </si>
  <si>
    <t>COMUNICACIÓN SOCIAL</t>
  </si>
  <si>
    <t>JEFE DE DE INFORMATICA</t>
  </si>
  <si>
    <t>INFORMATICA</t>
  </si>
  <si>
    <t>AUXILIAR DE INFORMATICA</t>
  </si>
  <si>
    <t>JEFE DE PADRON Y LICENCIAS</t>
  </si>
  <si>
    <t>PADRON Y LICENCIAS</t>
  </si>
  <si>
    <t>INSPECTOR</t>
  </si>
  <si>
    <t>AUXILIAR OPERATIVO</t>
  </si>
  <si>
    <t>DIRECTOR DE PROTECCION CIVIL</t>
  </si>
  <si>
    <t>PRETECCION CIVIL</t>
  </si>
  <si>
    <t>SUBDIRECTOR OPERATIVO DE PROTECCION CIVIL</t>
  </si>
  <si>
    <t>PROTECCION CIVIL</t>
  </si>
  <si>
    <t>DIRECTOR DE CULTURA</t>
  </si>
  <si>
    <t>CULTURA</t>
  </si>
  <si>
    <t>AUXILIAR ADMINSITRATIVO</t>
  </si>
  <si>
    <t>JEFE DE DEPORTES</t>
  </si>
  <si>
    <t>DEPORTES</t>
  </si>
  <si>
    <t>OFICIAL DE REGISTRO CIVIL</t>
  </si>
  <si>
    <t>OFICIALIA DE REGISTRO CIVIL</t>
  </si>
  <si>
    <t>DIRECTOR DE DESARROLLO RURAL Y MEDIO AMBIENTE</t>
  </si>
  <si>
    <t>DESARROLLO RURAL Y MEDIO AMBIENTE</t>
  </si>
  <si>
    <t>SECRETARIO</t>
  </si>
  <si>
    <t>JEFE DE ECOLOGIA</t>
  </si>
  <si>
    <t>JEFE DE FOMENTO AGROPECUARIO</t>
  </si>
  <si>
    <t>AUXILIAR DE FOMENTO AGROPECUARIO</t>
  </si>
  <si>
    <t>INSPECTOR DE GANADERIA</t>
  </si>
  <si>
    <t>AUXILIAR DE GANADERIA</t>
  </si>
  <si>
    <t>ADMISTRADOR DE RASTRO</t>
  </si>
  <si>
    <t>VETERINARIO DE RASTRO</t>
  </si>
  <si>
    <t>GUARDARASTRO</t>
  </si>
  <si>
    <t>OFICIAL MAYOR ADMINISTRATIVO</t>
  </si>
  <si>
    <t>OFICIALIA MAYOR ADMISTRATIVA</t>
  </si>
  <si>
    <t>INTENDENTE</t>
  </si>
  <si>
    <t>DIRECTOR DE PLANEACION Y DESARROLLO URBANO</t>
  </si>
  <si>
    <t>PLANEACION Y DESARROLLO URBANO</t>
  </si>
  <si>
    <t>PROYECTISTA</t>
  </si>
  <si>
    <t>SECRETARIO TECNICO DE LA COMUR</t>
  </si>
  <si>
    <t>DIRECTOR DE OBRAS PUBLICAS</t>
  </si>
  <si>
    <t>OBRAS PUBLICAS</t>
  </si>
  <si>
    <t>SUBDIRECTOR DE OBRAS PUBLICAS</t>
  </si>
  <si>
    <t>SECRERIA</t>
  </si>
  <si>
    <t>JEFE DE MANTENIMIENTO</t>
  </si>
  <si>
    <t>MANTENIMIENTO</t>
  </si>
  <si>
    <t>TOPOGRAFO</t>
  </si>
  <si>
    <t>DIRECTOR DE DESARROLLO SOCIAL</t>
  </si>
  <si>
    <t>SUBDIRECTOR DE DESARROLLO SOCIAL</t>
  </si>
  <si>
    <t>SECRETRIO</t>
  </si>
  <si>
    <t>JEFE DE PROGRAMAS SOCIALES</t>
  </si>
  <si>
    <t>JEFE DE PROMOCION ECONOMICA</t>
  </si>
  <si>
    <t>DIRECTOR DE PARTICIPACION CIUDADANA</t>
  </si>
  <si>
    <t>PARTICIPACION CIUDADANA</t>
  </si>
  <si>
    <t>JEFE DE COMEDORES COMUNITARIOS</t>
  </si>
  <si>
    <t>COCINERO EN COMEDOR COMUNITARIO</t>
  </si>
  <si>
    <t>JEFE DE ALMACEN</t>
  </si>
  <si>
    <t>DIRECTOR DE PROGRAMAS ESTRATEGICOS</t>
  </si>
  <si>
    <t>PROGRAMAS ESTRATEGICOS</t>
  </si>
  <si>
    <t>DIRECTOR DE SERVICIOS PUBLICOS</t>
  </si>
  <si>
    <t>SERVICIOS PUBLICOS MUNICIPALES</t>
  </si>
  <si>
    <t>ENCARGADO DE AGUA POTABLE</t>
  </si>
  <si>
    <t>FONTANERO</t>
  </si>
  <si>
    <t>AUXILIAR DE ELECTRICISTA</t>
  </si>
  <si>
    <t>ELECTRICISTA</t>
  </si>
  <si>
    <t>ELECTRICISTA DELEGACIONES</t>
  </si>
  <si>
    <t>PLAZA PROVISIONAL ORDENADA POR EL TRIBUNAL DE ARBITRAJE Y ESCALAFON</t>
  </si>
  <si>
    <t>SUPERVISOR DE ASEO PUBLICO</t>
  </si>
  <si>
    <t>CHOFER DE CAMION DE BASURA</t>
  </si>
  <si>
    <t>ASEADOR</t>
  </si>
  <si>
    <t>AUXILIAR DE PANTEON</t>
  </si>
  <si>
    <t>RELLENO SANITARIO</t>
  </si>
  <si>
    <t>PARQUES Y JARDINES</t>
  </si>
  <si>
    <t>ALMACEN</t>
  </si>
  <si>
    <t>MEDICO MUNICIPAL</t>
  </si>
  <si>
    <t>MEDICO MUNCIPAL</t>
  </si>
  <si>
    <t>ENCARGADO DE LA UNIDAD DE REHABILITACION MUNICIPAL</t>
  </si>
  <si>
    <t>JEFE DE EDUCACION</t>
  </si>
  <si>
    <t>EDUCACION</t>
  </si>
  <si>
    <t>CHOFER DE CAMION</t>
  </si>
  <si>
    <t>JEFE DE MODULO DE MAQUINARIA</t>
  </si>
  <si>
    <t>MODULO DE MAQUINARIA</t>
  </si>
  <si>
    <t>AUXILIAR DE MODULO DE MAQUINARIA</t>
  </si>
  <si>
    <t>CHOFER DE VOLTEO</t>
  </si>
  <si>
    <t>ENCARGADO DE MODULO DE MAQUINARIA</t>
  </si>
  <si>
    <t>MAQUINISTA</t>
  </si>
  <si>
    <t>MECANICO (A)</t>
  </si>
  <si>
    <t>MECANICO  (B)</t>
  </si>
  <si>
    <t>DELEGADO</t>
  </si>
  <si>
    <t>DELEGACION EL REFUGIO SUCHITLAN</t>
  </si>
  <si>
    <t>AUXILIAR ADMINISTRATIVO</t>
  </si>
  <si>
    <t>ENLACE</t>
  </si>
  <si>
    <t>DELEGACION LAS JUNTAS Y LOS VERANOS</t>
  </si>
  <si>
    <t>DELEGACION CHACALA</t>
  </si>
  <si>
    <t>DELEGACION YELAPA</t>
  </si>
  <si>
    <t>DELEGACION MAYTO</t>
  </si>
  <si>
    <t>ENCARGADO DE DIRECCION DE SEGURIDAD PUBLICA</t>
  </si>
  <si>
    <t>SEGURIDAD PUBLICA</t>
  </si>
  <si>
    <t>CHOFER ESCOLTA</t>
  </si>
  <si>
    <t>OPERADOR DE AMBULANCIA</t>
  </si>
  <si>
    <t>AGENTE OPERATIVO A</t>
  </si>
  <si>
    <t>AGENTE OPERATIVO</t>
  </si>
  <si>
    <t>ENCARGADO DE PREVENCION SOCIAL DEL DELITO Y PARTICIPACION CIUDADANA</t>
  </si>
  <si>
    <t>AUXILIAR DE PREVENCION SOCIAL DEL DELITO Y VINCULACION CIUDADANA</t>
  </si>
  <si>
    <t>Secretaria General</t>
  </si>
  <si>
    <t>Hacienda Publica</t>
  </si>
  <si>
    <t>Contraloria</t>
  </si>
  <si>
    <t>Direccion de Cultura</t>
  </si>
  <si>
    <t>Direccion de Desarrollo Rural</t>
  </si>
  <si>
    <t>Direccion de Planeacion y Desarrollo Urbano</t>
  </si>
  <si>
    <t>Direccion de Obras Publicas</t>
  </si>
  <si>
    <t>Direccion de Desarrollo Social</t>
  </si>
  <si>
    <t>Direccion de  Participacion Ciudadana</t>
  </si>
  <si>
    <t>Direccion de Servicios Publicos</t>
  </si>
  <si>
    <t>Direccion de Seguridad Publica</t>
  </si>
  <si>
    <t>Direccion de Porgramas Estrategicos</t>
  </si>
  <si>
    <t>Oficialia Mayor Administrativo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</si>
</sst>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5">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3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47">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4" xfId="0" applyFont="1" applyFill="1" applyBorder="1" applyAlignment="1" applyProtection="1">
      <alignment horizontal="center" vertical="center"/>
    </xf>
    <xf numFmtId="0" fontId="24" fillId="0" borderId="34" xfId="0" applyFont="1" applyFill="1" applyBorder="1" applyAlignment="1" applyProtection="1">
      <alignment vertical="center" wrapText="1"/>
    </xf>
    <xf numFmtId="3" fontId="24" fillId="0" borderId="34" xfId="0" applyNumberFormat="1" applyFont="1" applyFill="1" applyBorder="1" applyAlignment="1" applyProtection="1">
      <alignment vertical="center"/>
    </xf>
    <xf numFmtId="10" fontId="24" fillId="0" borderId="34" xfId="0" applyNumberFormat="1" applyFont="1" applyFill="1" applyBorder="1" applyAlignment="1" applyProtection="1">
      <alignment horizontal="center" vertical="center"/>
    </xf>
    <xf numFmtId="0" fontId="24" fillId="0" borderId="34" xfId="0" applyFont="1" applyFill="1" applyBorder="1" applyAlignment="1" applyProtection="1">
      <alignment vertical="center"/>
    </xf>
    <xf numFmtId="41" fontId="24" fillId="0" borderId="34"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4"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5"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6" xfId="0" applyFill="1" applyBorder="1" applyAlignment="1" applyProtection="1">
      <alignment horizontal="right"/>
      <protection locked="0"/>
    </xf>
    <xf numFmtId="168" fontId="24" fillId="0" borderId="36" xfId="0" applyNumberFormat="1" applyFont="1" applyBorder="1" applyAlignment="1" applyProtection="1">
      <alignment horizontal="center" vertical="center"/>
      <protection locked="0"/>
    </xf>
    <xf numFmtId="0" fontId="24" fillId="0" borderId="36"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5" xfId="24" applyFont="1" applyFill="1" applyBorder="1" applyAlignment="1" applyProtection="1">
      <alignment horizontal="center" vertical="center"/>
    </xf>
    <xf numFmtId="168" fontId="26" fillId="0" borderId="37" xfId="0" applyNumberFormat="1" applyFont="1" applyFill="1" applyBorder="1" applyAlignment="1" applyProtection="1">
      <alignment horizontal="center" vertical="center"/>
    </xf>
    <xf numFmtId="168" fontId="26" fillId="0" borderId="38"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0"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4"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6"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1" xfId="0" applyNumberFormat="1" applyFont="1" applyFill="1" applyBorder="1" applyAlignment="1" applyProtection="1">
      <alignment horizontal="right" vertical="center"/>
    </xf>
    <xf numFmtId="0" fontId="0" fillId="0" borderId="42" xfId="0" applyFill="1" applyBorder="1" applyAlignment="1" applyProtection="1">
      <alignment horizontal="right"/>
      <protection locked="0"/>
    </xf>
    <xf numFmtId="168" fontId="24" fillId="0" borderId="43" xfId="0" applyNumberFormat="1" applyFont="1" applyBorder="1" applyAlignment="1" applyProtection="1">
      <alignment horizontal="center" vertical="center"/>
      <protection locked="0"/>
    </xf>
    <xf numFmtId="0" fontId="24" fillId="0" borderId="43" xfId="0" applyFont="1" applyFill="1" applyBorder="1" applyAlignment="1" applyProtection="1">
      <alignment wrapText="1"/>
      <protection locked="0"/>
    </xf>
    <xf numFmtId="41" fontId="0" fillId="0" borderId="43" xfId="0" applyNumberFormat="1" applyFont="1" applyBorder="1" applyProtection="1">
      <protection locked="0"/>
    </xf>
    <xf numFmtId="0" fontId="0" fillId="0" borderId="43" xfId="0" applyFill="1" applyBorder="1" applyAlignment="1" applyProtection="1">
      <alignment horizontal="right"/>
      <protection locked="0"/>
    </xf>
    <xf numFmtId="0" fontId="22" fillId="0" borderId="41" xfId="0" applyFont="1" applyBorder="1" applyAlignment="1" applyProtection="1">
      <alignment horizontal="right" vertical="center" wrapText="1"/>
      <protection locked="0"/>
    </xf>
    <xf numFmtId="41" fontId="0" fillId="0" borderId="41" xfId="0" applyNumberFormat="1" applyBorder="1" applyAlignment="1" applyProtection="1">
      <alignment horizontal="right" vertical="center"/>
    </xf>
    <xf numFmtId="41" fontId="22" fillId="0" borderId="41" xfId="0" applyNumberFormat="1" applyFont="1" applyBorder="1" applyAlignment="1" applyProtection="1">
      <alignment horizontal="right" vertical="center"/>
    </xf>
    <xf numFmtId="41" fontId="0" fillId="0" borderId="41" xfId="0" applyNumberFormat="1" applyFont="1" applyBorder="1" applyAlignment="1" applyProtection="1">
      <alignment horizontal="right" vertical="center"/>
      <protection locked="0"/>
    </xf>
    <xf numFmtId="41" fontId="32" fillId="15" borderId="41" xfId="0" applyNumberFormat="1" applyFont="1" applyFill="1" applyBorder="1" applyAlignment="1" applyProtection="1">
      <alignment horizontal="right" vertical="center"/>
    </xf>
    <xf numFmtId="0" fontId="32" fillId="14" borderId="41" xfId="0" applyFont="1" applyFill="1" applyBorder="1" applyAlignment="1" applyProtection="1">
      <alignment vertical="center" wrapText="1"/>
    </xf>
    <xf numFmtId="41" fontId="0" fillId="0" borderId="41" xfId="0" applyNumberFormat="1" applyFont="1" applyBorder="1" applyAlignment="1" applyProtection="1">
      <alignment horizontal="right" vertical="center"/>
    </xf>
    <xf numFmtId="41" fontId="7" fillId="0" borderId="41" xfId="0" applyNumberFormat="1" applyFont="1" applyBorder="1" applyAlignment="1" applyProtection="1">
      <alignment horizontal="right" vertical="center" wrapText="1"/>
    </xf>
    <xf numFmtId="41" fontId="7" fillId="0" borderId="41" xfId="0" applyNumberFormat="1" applyFont="1" applyBorder="1" applyAlignment="1" applyProtection="1">
      <alignment horizontal="right" vertical="center"/>
    </xf>
    <xf numFmtId="41" fontId="6" fillId="0" borderId="41" xfId="0" applyNumberFormat="1" applyFont="1" applyBorder="1" applyAlignment="1" applyProtection="1">
      <alignment horizontal="right"/>
    </xf>
    <xf numFmtId="0" fontId="22" fillId="14" borderId="44" xfId="0" applyFont="1" applyFill="1" applyBorder="1" applyAlignment="1" applyProtection="1">
      <alignment horizontal="center" vertical="center"/>
    </xf>
    <xf numFmtId="0" fontId="22" fillId="14" borderId="41" xfId="0" applyFont="1" applyFill="1" applyBorder="1" applyAlignment="1" applyProtection="1">
      <alignment vertical="center" wrapText="1"/>
    </xf>
    <xf numFmtId="0" fontId="24" fillId="0" borderId="41" xfId="0" applyFont="1" applyBorder="1" applyAlignment="1" applyProtection="1">
      <alignment vertical="center"/>
    </xf>
    <xf numFmtId="0" fontId="24" fillId="0" borderId="41" xfId="0" applyFont="1" applyFill="1" applyBorder="1" applyAlignment="1" applyProtection="1">
      <alignment vertical="center" wrapText="1"/>
    </xf>
    <xf numFmtId="0" fontId="0" fillId="14" borderId="41" xfId="0" applyFont="1" applyFill="1" applyBorder="1" applyAlignment="1" applyProtection="1">
      <alignment vertical="center" wrapText="1"/>
    </xf>
    <xf numFmtId="0" fontId="0" fillId="0" borderId="41" xfId="0" applyFont="1" applyFill="1" applyBorder="1" applyAlignment="1" applyProtection="1">
      <alignment vertical="center" wrapText="1"/>
    </xf>
    <xf numFmtId="0" fontId="24" fillId="0" borderId="44" xfId="0" applyFont="1" applyFill="1" applyBorder="1" applyAlignment="1" applyProtection="1">
      <alignment horizontal="center" vertical="center"/>
    </xf>
    <xf numFmtId="0" fontId="32" fillId="14" borderId="44"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14" borderId="44" xfId="0" applyFont="1" applyFill="1" applyBorder="1" applyAlignment="1" applyProtection="1">
      <alignment horizontal="center" vertical="center"/>
    </xf>
    <xf numFmtId="165" fontId="24" fillId="0" borderId="41" xfId="0" applyNumberFormat="1" applyFont="1" applyFill="1" applyBorder="1" applyAlignment="1" applyProtection="1">
      <alignment horizontal="center" vertical="center"/>
      <protection locked="0"/>
    </xf>
    <xf numFmtId="0" fontId="24" fillId="0" borderId="41" xfId="0" applyFont="1" applyFill="1" applyBorder="1" applyAlignment="1" applyProtection="1">
      <alignment vertical="center"/>
      <protection locked="0"/>
    </xf>
    <xf numFmtId="0" fontId="24" fillId="0" borderId="41" xfId="0" applyFont="1" applyFill="1" applyBorder="1" applyAlignment="1" applyProtection="1">
      <alignment vertical="center" wrapText="1"/>
      <protection locked="0"/>
    </xf>
    <xf numFmtId="0" fontId="31" fillId="0" borderId="47"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4"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48" xfId="0" applyNumberFormat="1" applyFill="1" applyBorder="1" applyProtection="1">
      <protection locked="0"/>
    </xf>
    <xf numFmtId="42" fontId="0" fillId="0" borderId="48" xfId="0" applyNumberFormat="1" applyBorder="1"/>
    <xf numFmtId="0" fontId="31" fillId="0" borderId="49" xfId="0" applyFont="1" applyFill="1" applyBorder="1" applyAlignment="1" applyProtection="1">
      <alignment vertical="center"/>
    </xf>
    <xf numFmtId="0" fontId="31" fillId="0" borderId="45" xfId="0" applyFont="1" applyFill="1" applyBorder="1" applyAlignment="1" applyProtection="1">
      <alignment horizontal="center" vertical="center"/>
    </xf>
    <xf numFmtId="0" fontId="0" fillId="0" borderId="34"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1" xfId="0" applyNumberFormat="1" applyFont="1" applyFill="1" applyBorder="1" applyAlignment="1" applyProtection="1">
      <alignment horizontal="center" vertical="center"/>
    </xf>
    <xf numFmtId="9" fontId="24" fillId="0" borderId="41" xfId="0" applyNumberFormat="1" applyFont="1" applyFill="1" applyBorder="1" applyAlignment="1" applyProtection="1">
      <alignment vertical="center" wrapText="1"/>
    </xf>
    <xf numFmtId="49" fontId="28" fillId="14" borderId="41" xfId="0" applyNumberFormat="1" applyFont="1" applyFill="1" applyBorder="1" applyAlignment="1" applyProtection="1">
      <alignment horizontal="center" vertical="center"/>
    </xf>
    <xf numFmtId="0" fontId="36" fillId="19" borderId="56" xfId="0" applyFont="1" applyFill="1" applyBorder="1" applyAlignment="1" applyProtection="1">
      <alignment horizontal="center" vertical="center"/>
    </xf>
    <xf numFmtId="0" fontId="34" fillId="19" borderId="34" xfId="0" applyFont="1" applyFill="1" applyBorder="1" applyAlignment="1" applyProtection="1">
      <alignment horizontal="center"/>
    </xf>
    <xf numFmtId="41" fontId="34" fillId="19" borderId="34" xfId="0" applyNumberFormat="1" applyFont="1" applyFill="1" applyBorder="1" applyAlignment="1" applyProtection="1">
      <alignment horizontal="center"/>
    </xf>
    <xf numFmtId="9" fontId="34" fillId="19" borderId="34" xfId="0" applyNumberFormat="1" applyFont="1" applyFill="1" applyBorder="1" applyAlignment="1" applyProtection="1">
      <alignment horizontal="center" vertical="center"/>
    </xf>
    <xf numFmtId="0" fontId="25" fillId="0" borderId="35" xfId="24" applyFont="1" applyFill="1" applyBorder="1" applyAlignment="1" applyProtection="1">
      <alignment horizontal="left" vertical="center"/>
    </xf>
    <xf numFmtId="9" fontId="25" fillId="14" borderId="40" xfId="27" applyNumberFormat="1" applyFont="1" applyFill="1" applyBorder="1" applyAlignment="1" applyProtection="1">
      <alignment horizontal="center" vertical="center"/>
    </xf>
    <xf numFmtId="9" fontId="25" fillId="14" borderId="63" xfId="27" applyNumberFormat="1" applyFont="1" applyFill="1" applyBorder="1" applyAlignment="1" applyProtection="1">
      <alignment horizontal="center" vertical="center"/>
    </xf>
    <xf numFmtId="9" fontId="25" fillId="14" borderId="65" xfId="27" applyNumberFormat="1" applyFont="1" applyFill="1" applyBorder="1" applyAlignment="1" applyProtection="1">
      <alignment horizontal="center" vertical="center"/>
    </xf>
    <xf numFmtId="0" fontId="0" fillId="0" borderId="67" xfId="0" applyFill="1" applyBorder="1" applyAlignment="1" applyProtection="1">
      <alignment horizontal="right"/>
      <protection locked="0"/>
    </xf>
    <xf numFmtId="0" fontId="22" fillId="0" borderId="68" xfId="0" applyFont="1" applyBorder="1" applyAlignment="1" applyProtection="1">
      <alignment horizontal="right" vertical="center" wrapText="1"/>
      <protection locked="0"/>
    </xf>
    <xf numFmtId="41" fontId="0" fillId="0" borderId="68" xfId="0" applyNumberFormat="1" applyBorder="1" applyAlignment="1" applyProtection="1">
      <alignment horizontal="right" vertical="center"/>
    </xf>
    <xf numFmtId="41" fontId="22" fillId="0" borderId="68" xfId="0" applyNumberFormat="1" applyFont="1" applyBorder="1" applyAlignment="1" applyProtection="1">
      <alignment horizontal="right" vertical="center"/>
    </xf>
    <xf numFmtId="41" fontId="32" fillId="14" borderId="68" xfId="0" applyNumberFormat="1" applyFont="1" applyFill="1" applyBorder="1" applyAlignment="1" applyProtection="1">
      <alignment horizontal="right" vertical="center"/>
    </xf>
    <xf numFmtId="41" fontId="0" fillId="0" borderId="68" xfId="0" applyNumberFormat="1" applyFont="1" applyBorder="1" applyAlignment="1" applyProtection="1">
      <alignment horizontal="right" vertical="center"/>
      <protection locked="0"/>
    </xf>
    <xf numFmtId="41" fontId="32" fillId="15" borderId="68" xfId="0" applyNumberFormat="1" applyFont="1" applyFill="1" applyBorder="1" applyAlignment="1" applyProtection="1">
      <alignment horizontal="right" vertical="center"/>
    </xf>
    <xf numFmtId="41" fontId="0" fillId="0" borderId="68" xfId="0" applyNumberFormat="1" applyFont="1" applyBorder="1" applyAlignment="1" applyProtection="1">
      <alignment horizontal="right" vertical="center"/>
    </xf>
    <xf numFmtId="41" fontId="7" fillId="0" borderId="68" xfId="0" applyNumberFormat="1" applyFont="1" applyBorder="1" applyAlignment="1" applyProtection="1">
      <alignment horizontal="right" vertical="center" wrapText="1"/>
    </xf>
    <xf numFmtId="41" fontId="7" fillId="0" borderId="68" xfId="0" applyNumberFormat="1" applyFont="1" applyBorder="1" applyAlignment="1" applyProtection="1">
      <alignment horizontal="right" vertical="center"/>
    </xf>
    <xf numFmtId="41" fontId="6" fillId="0" borderId="68" xfId="0" applyNumberFormat="1" applyFont="1" applyBorder="1" applyAlignment="1" applyProtection="1">
      <alignment horizontal="right"/>
    </xf>
    <xf numFmtId="41" fontId="21" fillId="19" borderId="68" xfId="0" applyNumberFormat="1" applyFont="1" applyFill="1" applyBorder="1" applyAlignment="1" applyProtection="1">
      <alignment horizontal="right" vertical="center"/>
    </xf>
    <xf numFmtId="41" fontId="21" fillId="19" borderId="41" xfId="0" applyNumberFormat="1" applyFont="1" applyFill="1" applyBorder="1" applyAlignment="1" applyProtection="1">
      <alignment horizontal="right" vertical="center"/>
    </xf>
    <xf numFmtId="0" fontId="27" fillId="0" borderId="47"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1" xfId="0" applyFont="1" applyFill="1" applyBorder="1" applyAlignment="1" applyProtection="1">
      <alignment horizontal="center" vertical="center"/>
    </xf>
    <xf numFmtId="0" fontId="24" fillId="0" borderId="75" xfId="0" applyFont="1" applyFill="1" applyBorder="1" applyAlignment="1" applyProtection="1">
      <alignment vertical="center" wrapText="1"/>
    </xf>
    <xf numFmtId="49" fontId="21" fillId="0" borderId="89" xfId="0" applyNumberFormat="1" applyFont="1" applyFill="1" applyBorder="1" applyAlignment="1" applyProtection="1">
      <alignment horizontal="center" vertical="center"/>
    </xf>
    <xf numFmtId="49" fontId="21" fillId="0" borderId="88"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0" xfId="0" applyNumberFormat="1" applyFont="1" applyFill="1" applyBorder="1" applyAlignment="1" applyProtection="1">
      <alignment horizontal="center" vertical="center"/>
    </xf>
    <xf numFmtId="0" fontId="24" fillId="0" borderId="91" xfId="0" applyFont="1" applyFill="1" applyBorder="1" applyAlignment="1" applyProtection="1">
      <alignment vertical="center" wrapText="1"/>
    </xf>
    <xf numFmtId="49" fontId="21" fillId="0" borderId="93" xfId="0" applyNumberFormat="1" applyFont="1" applyFill="1" applyBorder="1" applyAlignment="1" applyProtection="1">
      <alignment horizontal="center" vertical="center"/>
    </xf>
    <xf numFmtId="49" fontId="21" fillId="0" borderId="92" xfId="0" applyNumberFormat="1" applyFont="1" applyFill="1" applyBorder="1" applyAlignment="1" applyProtection="1">
      <alignment horizontal="center" vertical="center" wrapText="1"/>
    </xf>
    <xf numFmtId="49" fontId="28" fillId="14" borderId="69" xfId="0" applyNumberFormat="1" applyFont="1" applyFill="1" applyBorder="1" applyAlignment="1" applyProtection="1">
      <alignment horizontal="center" vertical="center"/>
    </xf>
    <xf numFmtId="49" fontId="24" fillId="0" borderId="69" xfId="0" applyNumberFormat="1" applyFont="1" applyFill="1" applyBorder="1" applyAlignment="1" applyProtection="1">
      <alignment horizontal="center" vertical="center"/>
    </xf>
    <xf numFmtId="49" fontId="28" fillId="0" borderId="69" xfId="0" applyNumberFormat="1" applyFont="1" applyFill="1" applyBorder="1" applyAlignment="1" applyProtection="1">
      <alignment horizontal="center" vertical="center"/>
    </xf>
    <xf numFmtId="49" fontId="24" fillId="0" borderId="94"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5" xfId="0" applyNumberFormat="1" applyFont="1" applyFill="1" applyBorder="1" applyAlignment="1">
      <alignment horizontal="right" vertical="center"/>
    </xf>
    <xf numFmtId="0" fontId="24" fillId="0" borderId="15" xfId="0" applyFont="1" applyFill="1" applyBorder="1" applyAlignment="1">
      <alignment horizontal="center" vertical="center"/>
    </xf>
    <xf numFmtId="0" fontId="24" fillId="0" borderId="15" xfId="0" applyFont="1" applyFill="1" applyBorder="1" applyAlignment="1">
      <alignment vertical="center" wrapText="1"/>
    </xf>
    <xf numFmtId="0" fontId="0" fillId="0" borderId="11" xfId="0" applyFill="1" applyBorder="1" applyAlignment="1">
      <alignment horizontal="justify" vertical="center" wrapText="1"/>
    </xf>
    <xf numFmtId="0" fontId="35" fillId="19" borderId="44" xfId="0" applyFont="1" applyFill="1" applyBorder="1" applyAlignment="1" applyProtection="1">
      <alignment horizontal="center" vertical="center"/>
    </xf>
    <xf numFmtId="0" fontId="35" fillId="19" borderId="41" xfId="0" applyFont="1" applyFill="1" applyBorder="1" applyAlignment="1" applyProtection="1">
      <alignment vertical="center" wrapText="1"/>
    </xf>
    <xf numFmtId="41" fontId="38" fillId="19" borderId="41" xfId="0" applyNumberFormat="1" applyFont="1" applyFill="1" applyBorder="1" applyAlignment="1" applyProtection="1">
      <alignment horizontal="right" vertical="center"/>
    </xf>
    <xf numFmtId="41" fontId="38" fillId="19" borderId="80"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2" xfId="0" applyFont="1" applyFill="1" applyBorder="1" applyAlignment="1" applyProtection="1">
      <alignment vertical="center"/>
    </xf>
    <xf numFmtId="0" fontId="35" fillId="19" borderId="83" xfId="0" applyFont="1" applyFill="1" applyBorder="1" applyAlignment="1" applyProtection="1">
      <alignment horizontal="right" vertical="center"/>
    </xf>
    <xf numFmtId="0" fontId="35" fillId="0" borderId="0" xfId="0" applyFont="1"/>
    <xf numFmtId="0" fontId="32" fillId="19" borderId="45"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68" xfId="0" applyNumberFormat="1" applyFont="1" applyBorder="1" applyAlignment="1" applyProtection="1">
      <alignment horizontal="right"/>
    </xf>
    <xf numFmtId="41" fontId="0" fillId="0" borderId="41" xfId="0" applyNumberFormat="1" applyFont="1" applyBorder="1" applyAlignment="1" applyProtection="1">
      <alignment horizontal="right"/>
    </xf>
    <xf numFmtId="41" fontId="22" fillId="22" borderId="68" xfId="0" applyNumberFormat="1" applyFont="1" applyFill="1" applyBorder="1" applyAlignment="1" applyProtection="1">
      <alignment horizontal="right" vertical="center"/>
    </xf>
    <xf numFmtId="41" fontId="22" fillId="22" borderId="41" xfId="0" applyNumberFormat="1" applyFont="1" applyFill="1" applyBorder="1" applyAlignment="1" applyProtection="1">
      <alignment horizontal="right" vertical="center"/>
    </xf>
    <xf numFmtId="41" fontId="32" fillId="22" borderId="68" xfId="0" applyNumberFormat="1" applyFont="1" applyFill="1" applyBorder="1" applyAlignment="1" applyProtection="1">
      <alignment horizontal="right" vertical="center"/>
    </xf>
    <xf numFmtId="41" fontId="32" fillId="22" borderId="41" xfId="0" applyNumberFormat="1" applyFont="1" applyFill="1" applyBorder="1" applyAlignment="1" applyProtection="1">
      <alignment horizontal="right" vertical="center"/>
    </xf>
    <xf numFmtId="41" fontId="6" fillId="22" borderId="68" xfId="0" applyNumberFormat="1" applyFont="1" applyFill="1" applyBorder="1" applyAlignment="1" applyProtection="1">
      <alignment horizontal="right" vertical="center"/>
    </xf>
    <xf numFmtId="41" fontId="6" fillId="22" borderId="41" xfId="0" applyNumberFormat="1" applyFont="1" applyFill="1" applyBorder="1" applyAlignment="1" applyProtection="1">
      <alignment horizontal="right" vertical="center"/>
    </xf>
    <xf numFmtId="41" fontId="27" fillId="22" borderId="68" xfId="0" applyNumberFormat="1" applyFont="1" applyFill="1" applyBorder="1" applyAlignment="1" applyProtection="1">
      <alignment horizontal="right" vertical="center"/>
    </xf>
    <xf numFmtId="41" fontId="27" fillId="22" borderId="41" xfId="0" applyNumberFormat="1" applyFont="1" applyFill="1" applyBorder="1" applyAlignment="1" applyProtection="1">
      <alignment horizontal="right" vertical="center"/>
    </xf>
    <xf numFmtId="41" fontId="0" fillId="22" borderId="68" xfId="0" applyNumberFormat="1" applyFont="1" applyFill="1" applyBorder="1" applyAlignment="1" applyProtection="1">
      <alignment horizontal="right" vertical="center"/>
    </xf>
    <xf numFmtId="41" fontId="0" fillId="22" borderId="41" xfId="0" applyNumberFormat="1" applyFont="1" applyFill="1" applyBorder="1" applyAlignment="1" applyProtection="1">
      <alignment horizontal="right" vertical="center"/>
    </xf>
    <xf numFmtId="41" fontId="0" fillId="22" borderId="68" xfId="0" applyNumberFormat="1" applyFont="1" applyFill="1" applyBorder="1" applyAlignment="1" applyProtection="1">
      <alignment horizontal="right" vertical="center"/>
      <protection locked="0"/>
    </xf>
    <xf numFmtId="41" fontId="0" fillId="22" borderId="41" xfId="0" applyNumberFormat="1" applyFont="1" applyFill="1" applyBorder="1" applyAlignment="1" applyProtection="1">
      <alignment horizontal="right" vertical="center"/>
      <protection locked="0"/>
    </xf>
    <xf numFmtId="41" fontId="0" fillId="0" borderId="88" xfId="0" applyNumberFormat="1" applyFont="1" applyBorder="1" applyAlignment="1" applyProtection="1">
      <alignment horizontal="right" vertical="center"/>
    </xf>
    <xf numFmtId="41" fontId="0" fillId="0" borderId="127" xfId="0" applyNumberFormat="1" applyFont="1" applyBorder="1" applyAlignment="1" applyProtection="1">
      <alignment horizontal="right" vertical="center"/>
    </xf>
    <xf numFmtId="41" fontId="0" fillId="22" borderId="125" xfId="0" applyNumberFormat="1" applyFont="1" applyFill="1" applyBorder="1" applyAlignment="1" applyProtection="1">
      <alignment horizontal="right" vertical="center"/>
    </xf>
    <xf numFmtId="41" fontId="0" fillId="22" borderId="98" xfId="0" applyNumberFormat="1" applyFont="1" applyFill="1" applyBorder="1" applyAlignment="1" applyProtection="1">
      <alignment horizontal="right" vertical="center"/>
    </xf>
    <xf numFmtId="41" fontId="7" fillId="22" borderId="68" xfId="0" applyNumberFormat="1" applyFont="1" applyFill="1" applyBorder="1" applyAlignment="1" applyProtection="1">
      <alignment horizontal="right" vertical="center"/>
    </xf>
    <xf numFmtId="41" fontId="7" fillId="22" borderId="41" xfId="0" applyNumberFormat="1" applyFont="1" applyFill="1" applyBorder="1" applyAlignment="1" applyProtection="1">
      <alignment horizontal="right" vertical="center"/>
    </xf>
    <xf numFmtId="41" fontId="22" fillId="21" borderId="68" xfId="0" applyNumberFormat="1" applyFont="1" applyFill="1" applyBorder="1" applyAlignment="1" applyProtection="1">
      <alignment horizontal="right" vertical="center"/>
    </xf>
    <xf numFmtId="41" fontId="22" fillId="21" borderId="41" xfId="0" applyNumberFormat="1" applyFont="1" applyFill="1" applyBorder="1" applyAlignment="1" applyProtection="1">
      <alignment horizontal="right" vertical="center"/>
    </xf>
    <xf numFmtId="41" fontId="0" fillId="21" borderId="68" xfId="0" applyNumberFormat="1" applyFont="1" applyFill="1" applyBorder="1" applyAlignment="1" applyProtection="1">
      <alignment horizontal="right" vertical="center"/>
    </xf>
    <xf numFmtId="41" fontId="0" fillId="21" borderId="41" xfId="0" applyNumberFormat="1" applyFont="1" applyFill="1" applyBorder="1" applyAlignment="1" applyProtection="1">
      <alignment horizontal="right" vertical="center"/>
    </xf>
    <xf numFmtId="0" fontId="24" fillId="13" borderId="41" xfId="0" applyFont="1" applyFill="1" applyBorder="1" applyAlignment="1" applyProtection="1">
      <alignment vertical="center" wrapText="1"/>
    </xf>
    <xf numFmtId="41" fontId="32" fillId="19" borderId="78" xfId="0" applyNumberFormat="1" applyFont="1" applyFill="1" applyBorder="1" applyAlignment="1">
      <alignment horizontal="center" vertical="center" wrapText="1"/>
    </xf>
    <xf numFmtId="41" fontId="38" fillId="19" borderId="78" xfId="0" applyNumberFormat="1" applyFont="1" applyFill="1" applyBorder="1" applyAlignment="1">
      <alignment horizontal="center" vertical="center" wrapText="1"/>
    </xf>
    <xf numFmtId="0" fontId="32" fillId="19" borderId="77" xfId="0" applyFont="1" applyFill="1" applyBorder="1" applyAlignment="1">
      <alignment horizontal="center" vertical="center" wrapText="1"/>
    </xf>
    <xf numFmtId="0" fontId="32" fillId="19" borderId="78" xfId="0" applyFont="1" applyFill="1" applyBorder="1" applyAlignment="1">
      <alignment horizontal="center" vertical="center" wrapText="1"/>
    </xf>
    <xf numFmtId="0" fontId="32" fillId="19" borderId="79" xfId="0" applyFont="1" applyFill="1" applyBorder="1" applyAlignment="1">
      <alignment horizontal="center" vertical="center" wrapText="1"/>
    </xf>
    <xf numFmtId="0" fontId="32" fillId="0" borderId="71" xfId="0" applyFont="1" applyFill="1" applyBorder="1" applyAlignment="1" applyProtection="1">
      <alignment horizontal="center" vertical="center" wrapText="1"/>
    </xf>
    <xf numFmtId="0" fontId="32" fillId="0" borderId="72" xfId="0" applyFont="1" applyFill="1" applyBorder="1" applyAlignment="1" applyProtection="1">
      <alignment horizontal="center" vertical="center" wrapText="1"/>
    </xf>
    <xf numFmtId="164" fontId="32" fillId="0" borderId="73" xfId="0" applyNumberFormat="1" applyFont="1" applyFill="1" applyBorder="1" applyAlignment="1" applyProtection="1">
      <alignment horizontal="center" vertical="center" wrapText="1"/>
    </xf>
    <xf numFmtId="0" fontId="35" fillId="19" borderId="69" xfId="0" applyFont="1" applyFill="1" applyBorder="1" applyAlignment="1" applyProtection="1">
      <alignment horizontal="center" vertical="center" wrapText="1"/>
    </xf>
    <xf numFmtId="0" fontId="35" fillId="19" borderId="41" xfId="0" applyFont="1" applyFill="1" applyBorder="1" applyAlignment="1" applyProtection="1">
      <alignment horizontal="left" vertical="center" wrapText="1"/>
    </xf>
    <xf numFmtId="168" fontId="35" fillId="19" borderId="41" xfId="0" applyNumberFormat="1" applyFont="1" applyFill="1" applyBorder="1" applyAlignment="1" applyProtection="1">
      <alignment horizontal="left" vertical="center"/>
    </xf>
    <xf numFmtId="0" fontId="35" fillId="19" borderId="41" xfId="0" applyNumberFormat="1" applyFont="1" applyFill="1" applyBorder="1" applyAlignment="1" applyProtection="1">
      <alignment horizontal="left" vertical="center" wrapText="1"/>
    </xf>
    <xf numFmtId="0" fontId="35" fillId="19" borderId="41" xfId="0" applyNumberFormat="1" applyFont="1" applyFill="1" applyBorder="1" applyAlignment="1" applyProtection="1">
      <alignment horizontal="left" vertical="center"/>
    </xf>
    <xf numFmtId="168" fontId="35" fillId="19" borderId="41" xfId="0" applyNumberFormat="1" applyFont="1" applyFill="1" applyBorder="1" applyAlignment="1" applyProtection="1">
      <alignment horizontal="left" vertical="center" wrapText="1"/>
    </xf>
    <xf numFmtId="168" fontId="38" fillId="19" borderId="35" xfId="0" applyNumberFormat="1" applyFont="1" applyFill="1" applyBorder="1" applyAlignment="1" applyProtection="1">
      <alignment horizontal="center" vertical="center"/>
    </xf>
    <xf numFmtId="9" fontId="38" fillId="19" borderId="40" xfId="27" applyNumberFormat="1" applyFont="1" applyFill="1" applyBorder="1" applyAlignment="1" applyProtection="1">
      <alignment horizontal="center" vertical="center"/>
    </xf>
    <xf numFmtId="9" fontId="38" fillId="19" borderId="64" xfId="27" applyNumberFormat="1" applyFont="1" applyFill="1" applyBorder="1" applyAlignment="1" applyProtection="1">
      <alignment horizontal="center" vertical="center"/>
    </xf>
    <xf numFmtId="10" fontId="43" fillId="19" borderId="66" xfId="27" applyNumberFormat="1" applyFont="1" applyFill="1" applyBorder="1" applyAlignment="1" applyProtection="1">
      <alignment horizontal="center" vertical="center"/>
    </xf>
    <xf numFmtId="168" fontId="38" fillId="19" borderId="59" xfId="0" applyNumberFormat="1" applyFont="1" applyFill="1" applyBorder="1" applyAlignment="1" applyProtection="1">
      <alignment horizontal="center" vertical="center"/>
    </xf>
    <xf numFmtId="9" fontId="38" fillId="19" borderId="60" xfId="27" applyNumberFormat="1" applyFont="1" applyFill="1" applyBorder="1" applyAlignment="1" applyProtection="1">
      <alignment horizontal="center" vertical="center"/>
    </xf>
    <xf numFmtId="0" fontId="38" fillId="19" borderId="56" xfId="0" applyFont="1" applyFill="1" applyBorder="1" applyAlignment="1" applyProtection="1">
      <alignment horizontal="center"/>
    </xf>
    <xf numFmtId="0" fontId="38" fillId="19" borderId="57" xfId="0" applyFont="1" applyFill="1" applyBorder="1" applyAlignment="1" applyProtection="1">
      <alignment horizontal="center"/>
    </xf>
    <xf numFmtId="41" fontId="38" fillId="19" borderId="57" xfId="0" applyNumberFormat="1" applyFont="1" applyFill="1" applyBorder="1" applyAlignment="1" applyProtection="1">
      <alignment horizontal="center"/>
    </xf>
    <xf numFmtId="9" fontId="38" fillId="19" borderId="58" xfId="0" applyNumberFormat="1" applyFont="1" applyFill="1" applyBorder="1" applyAlignment="1" applyProtection="1">
      <alignment horizontal="center" vertical="center"/>
    </xf>
    <xf numFmtId="0" fontId="43" fillId="19" borderId="57" xfId="0" applyFont="1" applyFill="1" applyBorder="1" applyAlignment="1" applyProtection="1">
      <alignment horizontal="right" vertical="center" wrapText="1"/>
    </xf>
    <xf numFmtId="41" fontId="43" fillId="19" borderId="34" xfId="0" applyNumberFormat="1" applyFont="1" applyFill="1" applyBorder="1" applyAlignment="1" applyProtection="1">
      <alignment vertical="center"/>
    </xf>
    <xf numFmtId="10" fontId="43" fillId="19" borderId="34" xfId="0" applyNumberFormat="1" applyFont="1" applyFill="1" applyBorder="1" applyAlignment="1" applyProtection="1">
      <alignment vertical="center"/>
    </xf>
    <xf numFmtId="0" fontId="38" fillId="19" borderId="34" xfId="0" applyFont="1" applyFill="1" applyBorder="1" applyAlignment="1" applyProtection="1">
      <alignment horizontal="center"/>
    </xf>
    <xf numFmtId="41" fontId="38" fillId="19" borderId="34" xfId="0" applyNumberFormat="1" applyFont="1" applyFill="1" applyBorder="1" applyAlignment="1" applyProtection="1">
      <alignment horizontal="center"/>
    </xf>
    <xf numFmtId="9" fontId="38" fillId="19" borderId="34" xfId="0" applyNumberFormat="1" applyFont="1" applyFill="1" applyBorder="1" applyAlignment="1" applyProtection="1">
      <alignment horizontal="center" vertical="center"/>
    </xf>
    <xf numFmtId="0" fontId="25" fillId="19" borderId="56" xfId="0" applyFont="1" applyFill="1" applyBorder="1" applyAlignment="1" applyProtection="1">
      <alignment horizontal="center" vertical="center"/>
    </xf>
    <xf numFmtId="10" fontId="43" fillId="19" borderId="34" xfId="27" applyNumberFormat="1" applyFont="1" applyFill="1" applyBorder="1" applyAlignment="1" applyProtection="1">
      <alignment horizontal="center" vertical="center"/>
    </xf>
    <xf numFmtId="168" fontId="35" fillId="19" borderId="59" xfId="0" applyNumberFormat="1" applyFont="1" applyFill="1" applyBorder="1" applyAlignment="1" applyProtection="1">
      <alignment horizontal="center" vertical="center"/>
    </xf>
    <xf numFmtId="9" fontId="35" fillId="19" borderId="60" xfId="27" applyNumberFormat="1" applyFont="1" applyFill="1" applyBorder="1" applyAlignment="1" applyProtection="1">
      <alignment horizontal="center" vertical="center"/>
    </xf>
    <xf numFmtId="168" fontId="35" fillId="19" borderId="35" xfId="0" applyNumberFormat="1" applyFont="1" applyFill="1" applyBorder="1" applyAlignment="1" applyProtection="1">
      <alignment horizontal="center" vertical="center"/>
    </xf>
    <xf numFmtId="9" fontId="35" fillId="19" borderId="40" xfId="27" applyNumberFormat="1" applyFont="1" applyFill="1" applyBorder="1" applyAlignment="1" applyProtection="1">
      <alignment horizontal="center" vertical="center"/>
    </xf>
    <xf numFmtId="10" fontId="40" fillId="19" borderId="62" xfId="27" applyNumberFormat="1" applyFont="1" applyFill="1" applyBorder="1" applyAlignment="1" applyProtection="1">
      <alignment horizontal="center" vertical="center"/>
    </xf>
    <xf numFmtId="0" fontId="32" fillId="19" borderId="56" xfId="0" applyFont="1" applyFill="1" applyBorder="1" applyAlignment="1" applyProtection="1">
      <alignment horizontal="center" vertical="center"/>
    </xf>
    <xf numFmtId="0" fontId="32" fillId="19" borderId="57" xfId="0" applyFont="1" applyFill="1" applyBorder="1" applyAlignment="1" applyProtection="1">
      <alignment horizontal="center" vertical="center"/>
    </xf>
    <xf numFmtId="41" fontId="32" fillId="19" borderId="57" xfId="0" applyNumberFormat="1" applyFont="1" applyFill="1" applyBorder="1" applyAlignment="1" applyProtection="1">
      <alignment horizontal="center" vertical="center"/>
    </xf>
    <xf numFmtId="9" fontId="32" fillId="19" borderId="58" xfId="0" applyNumberFormat="1" applyFont="1" applyFill="1" applyBorder="1" applyAlignment="1" applyProtection="1">
      <alignment horizontal="center" vertical="center"/>
    </xf>
    <xf numFmtId="0" fontId="37" fillId="19" borderId="56" xfId="0" applyFont="1" applyFill="1" applyBorder="1" applyAlignment="1" applyProtection="1">
      <alignment horizontal="center" vertical="center"/>
    </xf>
    <xf numFmtId="0" fontId="44" fillId="19" borderId="57" xfId="0" applyFont="1" applyFill="1" applyBorder="1" applyAlignment="1" applyProtection="1">
      <alignment horizontal="right" vertical="center" wrapText="1"/>
    </xf>
    <xf numFmtId="41" fontId="44" fillId="19" borderId="34" xfId="0" applyNumberFormat="1" applyFont="1" applyFill="1" applyBorder="1" applyAlignment="1" applyProtection="1">
      <alignment vertical="center"/>
    </xf>
    <xf numFmtId="10" fontId="44" fillId="19" borderId="34" xfId="0" applyNumberFormat="1" applyFont="1" applyFill="1" applyBorder="1" applyAlignment="1" applyProtection="1">
      <alignment vertical="center"/>
    </xf>
    <xf numFmtId="41" fontId="35" fillId="19" borderId="85" xfId="0" applyNumberFormat="1" applyFont="1" applyFill="1" applyBorder="1" applyAlignment="1" applyProtection="1">
      <alignment horizontal="center" vertical="center"/>
    </xf>
    <xf numFmtId="49" fontId="35" fillId="19" borderId="86" xfId="0" applyNumberFormat="1" applyFont="1" applyFill="1" applyBorder="1" applyAlignment="1" applyProtection="1">
      <alignment horizontal="center" vertical="center"/>
    </xf>
    <xf numFmtId="0" fontId="35" fillId="19" borderId="82" xfId="0" applyFont="1" applyFill="1" applyBorder="1" applyAlignment="1" applyProtection="1">
      <alignment horizontal="center" vertical="center"/>
    </xf>
    <xf numFmtId="0" fontId="35" fillId="19" borderId="83" xfId="0" applyFont="1" applyFill="1" applyBorder="1" applyAlignment="1" applyProtection="1">
      <alignment horizontal="center" vertical="center"/>
    </xf>
    <xf numFmtId="0" fontId="40" fillId="19" borderId="83" xfId="0" applyFont="1" applyFill="1" applyBorder="1" applyAlignment="1" applyProtection="1">
      <alignment horizontal="right" vertical="center" wrapText="1"/>
    </xf>
    <xf numFmtId="49" fontId="32" fillId="19" borderId="88"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wrapText="1"/>
    </xf>
    <xf numFmtId="49" fontId="32" fillId="19" borderId="69" xfId="0" applyNumberFormat="1" applyFont="1" applyFill="1" applyBorder="1" applyAlignment="1" applyProtection="1">
      <alignment horizontal="center" vertical="center"/>
    </xf>
    <xf numFmtId="0" fontId="37" fillId="0" borderId="69" xfId="24" applyFont="1" applyFill="1" applyBorder="1" applyAlignment="1" applyProtection="1">
      <alignment horizontal="center" vertical="center"/>
    </xf>
    <xf numFmtId="0" fontId="33" fillId="0" borderId="41" xfId="0" applyFont="1" applyFill="1" applyBorder="1" applyAlignment="1" applyProtection="1">
      <alignment horizontal="left" vertical="center" wrapText="1"/>
    </xf>
    <xf numFmtId="3" fontId="32" fillId="0" borderId="41" xfId="0" applyNumberFormat="1" applyFont="1" applyFill="1" applyBorder="1" applyAlignment="1" applyProtection="1">
      <alignment vertical="center"/>
    </xf>
    <xf numFmtId="0" fontId="37" fillId="0" borderId="126" xfId="24" applyFont="1" applyFill="1" applyBorder="1" applyAlignment="1" applyProtection="1">
      <alignment horizontal="center" vertical="center"/>
    </xf>
    <xf numFmtId="0" fontId="33" fillId="0" borderId="127" xfId="0" applyFont="1" applyFill="1" applyBorder="1" applyAlignment="1" applyProtection="1">
      <alignment horizontal="left" vertical="center" wrapText="1"/>
    </xf>
    <xf numFmtId="0" fontId="24" fillId="0" borderId="34"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0" xfId="0" applyNumberFormat="1" applyFont="1" applyFill="1" applyBorder="1" applyAlignment="1" applyProtection="1">
      <alignment vertical="center"/>
    </xf>
    <xf numFmtId="37" fontId="32" fillId="19" borderId="70" xfId="0" applyNumberFormat="1" applyFont="1" applyFill="1" applyBorder="1" applyAlignment="1" applyProtection="1">
      <alignment horizontal="right" vertical="center" wrapText="1"/>
    </xf>
    <xf numFmtId="37" fontId="32" fillId="23" borderId="70" xfId="0" applyNumberFormat="1" applyFont="1" applyFill="1" applyBorder="1" applyAlignment="1" applyProtection="1">
      <alignment vertical="center"/>
    </xf>
    <xf numFmtId="37" fontId="0" fillId="0" borderId="70" xfId="0" applyNumberFormat="1" applyFont="1" applyFill="1" applyBorder="1" applyAlignment="1" applyProtection="1">
      <alignment vertical="center"/>
      <protection locked="0"/>
    </xf>
    <xf numFmtId="37" fontId="37" fillId="0" borderId="70" xfId="0" applyNumberFormat="1" applyFont="1" applyFill="1" applyBorder="1" applyAlignment="1" applyProtection="1">
      <alignment horizontal="right" vertical="center"/>
      <protection locked="0"/>
    </xf>
    <xf numFmtId="37" fontId="22" fillId="23" borderId="70" xfId="0" applyNumberFormat="1" applyFont="1" applyFill="1" applyBorder="1" applyAlignment="1" applyProtection="1">
      <alignment vertical="center"/>
    </xf>
    <xf numFmtId="37" fontId="33" fillId="23" borderId="70" xfId="0" applyNumberFormat="1" applyFont="1" applyFill="1" applyBorder="1" applyAlignment="1" applyProtection="1">
      <alignment vertical="center"/>
    </xf>
    <xf numFmtId="37" fontId="42" fillId="19" borderId="74" xfId="0" applyNumberFormat="1" applyFont="1" applyFill="1" applyBorder="1" applyAlignment="1" applyProtection="1">
      <alignment horizontal="right" vertical="center"/>
    </xf>
    <xf numFmtId="37" fontId="0" fillId="0" borderId="92" xfId="0" applyNumberFormat="1" applyFont="1" applyFill="1" applyBorder="1" applyAlignment="1" applyProtection="1">
      <alignment vertical="center"/>
      <protection locked="0"/>
    </xf>
    <xf numFmtId="3" fontId="28" fillId="14" borderId="41" xfId="0" applyNumberFormat="1" applyFont="1" applyFill="1" applyBorder="1" applyAlignment="1" applyProtection="1">
      <alignment horizontal="right" vertical="center"/>
    </xf>
    <xf numFmtId="3" fontId="0" fillId="0" borderId="45" xfId="0" applyNumberFormat="1" applyBorder="1"/>
    <xf numFmtId="3" fontId="24" fillId="0" borderId="41" xfId="0" applyNumberFormat="1" applyFont="1" applyFill="1" applyBorder="1" applyAlignment="1" applyProtection="1">
      <alignment horizontal="right" vertical="center"/>
      <protection locked="0"/>
    </xf>
    <xf numFmtId="3" fontId="24" fillId="17" borderId="41" xfId="0" applyNumberFormat="1" applyFont="1" applyFill="1" applyBorder="1" applyAlignment="1" applyProtection="1">
      <alignment horizontal="right" vertical="center"/>
    </xf>
    <xf numFmtId="3" fontId="0" fillId="18" borderId="45" xfId="0" applyNumberFormat="1" applyFill="1" applyBorder="1"/>
    <xf numFmtId="3" fontId="0" fillId="14" borderId="45" xfId="0" applyNumberFormat="1" applyFill="1" applyBorder="1"/>
    <xf numFmtId="3" fontId="28" fillId="14" borderId="46" xfId="0" applyNumberFormat="1" applyFont="1" applyFill="1" applyBorder="1" applyAlignment="1" applyProtection="1">
      <alignment horizontal="right" vertical="center"/>
    </xf>
    <xf numFmtId="3" fontId="38" fillId="19" borderId="41" xfId="0" applyNumberFormat="1" applyFont="1" applyFill="1" applyBorder="1" applyAlignment="1" applyProtection="1">
      <alignment horizontal="right" vertical="center"/>
    </xf>
    <xf numFmtId="3" fontId="38" fillId="19" borderId="46" xfId="0" applyNumberFormat="1" applyFont="1" applyFill="1" applyBorder="1" applyAlignment="1" applyProtection="1">
      <alignment horizontal="right" vertical="center"/>
    </xf>
    <xf numFmtId="3" fontId="38" fillId="15" borderId="46" xfId="0" applyNumberFormat="1" applyFont="1" applyFill="1" applyBorder="1" applyAlignment="1" applyProtection="1">
      <alignment horizontal="right" vertical="center"/>
    </xf>
    <xf numFmtId="3" fontId="28" fillId="17" borderId="41" xfId="0" applyNumberFormat="1" applyFont="1" applyFill="1" applyBorder="1" applyAlignment="1" applyProtection="1">
      <alignment horizontal="right" vertical="center"/>
    </xf>
    <xf numFmtId="3" fontId="22" fillId="0" borderId="45" xfId="0" applyNumberFormat="1" applyFont="1" applyBorder="1"/>
    <xf numFmtId="3" fontId="24" fillId="14" borderId="46" xfId="0" applyNumberFormat="1" applyFont="1" applyFill="1" applyBorder="1" applyAlignment="1" applyProtection="1">
      <alignment horizontal="right" vertical="center"/>
    </xf>
    <xf numFmtId="3" fontId="24" fillId="0" borderId="41" xfId="0" applyNumberFormat="1" applyFont="1" applyBorder="1" applyAlignment="1" applyProtection="1">
      <alignment horizontal="right" vertical="center"/>
      <protection locked="0"/>
    </xf>
    <xf numFmtId="3" fontId="24" fillId="0" borderId="46" xfId="0" applyNumberFormat="1" applyFont="1" applyBorder="1" applyAlignment="1" applyProtection="1">
      <alignment horizontal="right" vertical="center"/>
    </xf>
    <xf numFmtId="3" fontId="24" fillId="0" borderId="75" xfId="0" applyNumberFormat="1" applyFont="1" applyFill="1" applyBorder="1" applyAlignment="1" applyProtection="1">
      <alignment horizontal="right" vertical="center"/>
    </xf>
    <xf numFmtId="3" fontId="24" fillId="17" borderId="75" xfId="0" applyNumberFormat="1" applyFont="1" applyFill="1" applyBorder="1" applyAlignment="1" applyProtection="1">
      <alignment horizontal="right" vertical="center"/>
    </xf>
    <xf numFmtId="3" fontId="35" fillId="19" borderId="83" xfId="0" applyNumberFormat="1" applyFont="1" applyFill="1" applyBorder="1" applyAlignment="1" applyProtection="1">
      <alignment horizontal="center" vertical="center"/>
    </xf>
    <xf numFmtId="3" fontId="35" fillId="19" borderId="84" xfId="0" applyNumberFormat="1" applyFont="1" applyFill="1" applyBorder="1" applyAlignment="1" applyProtection="1">
      <alignment horizontal="center" vertical="center"/>
    </xf>
    <xf numFmtId="3" fontId="35" fillId="19" borderId="83" xfId="0" applyNumberFormat="1" applyFont="1" applyFill="1" applyBorder="1" applyAlignment="1" applyProtection="1">
      <alignment horizontal="right" vertical="center"/>
    </xf>
    <xf numFmtId="9" fontId="25" fillId="23" borderId="40" xfId="27" applyNumberFormat="1" applyFont="1" applyFill="1" applyBorder="1" applyAlignment="1" applyProtection="1">
      <alignment horizontal="center" vertical="center"/>
    </xf>
    <xf numFmtId="9" fontId="25" fillId="23" borderId="65" xfId="27" applyNumberFormat="1" applyFont="1" applyFill="1" applyBorder="1" applyAlignment="1" applyProtection="1">
      <alignment horizontal="center" vertical="center"/>
    </xf>
    <xf numFmtId="37" fontId="38" fillId="19" borderId="55" xfId="24" applyNumberFormat="1" applyFont="1" applyFill="1" applyBorder="1" applyAlignment="1" applyProtection="1">
      <alignment vertical="center"/>
    </xf>
    <xf numFmtId="37" fontId="25" fillId="13" borderId="32" xfId="24" applyNumberFormat="1" applyFont="1" applyFill="1" applyBorder="1" applyAlignment="1" applyProtection="1">
      <alignment vertical="center"/>
      <protection locked="0"/>
    </xf>
    <xf numFmtId="37" fontId="25" fillId="0" borderId="32" xfId="24" applyNumberFormat="1" applyFont="1" applyFill="1" applyBorder="1" applyAlignment="1" applyProtection="1">
      <alignment vertical="center"/>
      <protection locked="0"/>
    </xf>
    <xf numFmtId="37" fontId="38" fillId="19" borderId="32" xfId="24" applyNumberFormat="1" applyFont="1" applyFill="1" applyBorder="1" applyAlignment="1" applyProtection="1">
      <alignment vertical="center"/>
    </xf>
    <xf numFmtId="37" fontId="43" fillId="19" borderId="61" xfId="24" applyNumberFormat="1" applyFont="1" applyFill="1" applyBorder="1" applyProtection="1"/>
    <xf numFmtId="37" fontId="25" fillId="0" borderId="32" xfId="0" applyNumberFormat="1" applyFont="1" applyFill="1" applyBorder="1" applyAlignment="1" applyProtection="1">
      <alignment horizontal="right" vertical="center"/>
      <protection locked="0"/>
    </xf>
    <xf numFmtId="37" fontId="25" fillId="0" borderId="39" xfId="24" applyNumberFormat="1" applyFont="1" applyFill="1" applyBorder="1" applyAlignment="1" applyProtection="1">
      <alignment horizontal="right" vertical="center"/>
      <protection locked="0"/>
    </xf>
    <xf numFmtId="37" fontId="35" fillId="19" borderId="55" xfId="24" applyNumberFormat="1" applyFont="1" applyFill="1" applyBorder="1" applyAlignment="1" applyProtection="1">
      <alignment vertical="center"/>
    </xf>
    <xf numFmtId="37" fontId="26" fillId="13" borderId="32" xfId="24" applyNumberFormat="1" applyFont="1" applyFill="1" applyBorder="1" applyAlignment="1" applyProtection="1">
      <alignment vertical="center"/>
      <protection locked="0"/>
    </xf>
    <xf numFmtId="37" fontId="26" fillId="0" borderId="32" xfId="24" applyNumberFormat="1" applyFont="1" applyFill="1" applyBorder="1" applyAlignment="1" applyProtection="1">
      <alignment vertical="center"/>
      <protection locked="0"/>
    </xf>
    <xf numFmtId="37" fontId="35" fillId="19" borderId="32" xfId="24" applyNumberFormat="1" applyFont="1" applyFill="1" applyBorder="1" applyAlignment="1" applyProtection="1">
      <alignment vertical="center"/>
    </xf>
    <xf numFmtId="37" fontId="26" fillId="13" borderId="33" xfId="24" applyNumberFormat="1" applyFont="1" applyFill="1" applyBorder="1" applyAlignment="1" applyProtection="1">
      <alignment vertical="center"/>
      <protection locked="0"/>
    </xf>
    <xf numFmtId="37" fontId="35" fillId="19" borderId="32" xfId="24" applyNumberFormat="1" applyFont="1" applyFill="1" applyBorder="1" applyAlignment="1" applyProtection="1">
      <alignment vertical="center"/>
      <protection locked="0"/>
    </xf>
    <xf numFmtId="37" fontId="26" fillId="0" borderId="39" xfId="24" applyNumberFormat="1" applyFont="1" applyFill="1" applyBorder="1" applyAlignment="1" applyProtection="1">
      <alignment vertical="center"/>
      <protection locked="0"/>
    </xf>
    <xf numFmtId="37" fontId="40" fillId="19" borderId="61" xfId="24" applyNumberFormat="1" applyFont="1" applyFill="1" applyBorder="1" applyProtection="1"/>
    <xf numFmtId="37" fontId="26" fillId="0" borderId="32" xfId="0" applyNumberFormat="1" applyFont="1" applyFill="1" applyBorder="1" applyAlignment="1" applyProtection="1">
      <alignment horizontal="right" vertical="center"/>
      <protection locked="0"/>
    </xf>
    <xf numFmtId="37" fontId="26" fillId="13" borderId="32" xfId="24" applyNumberFormat="1" applyFont="1" applyFill="1" applyBorder="1" applyAlignment="1" applyProtection="1">
      <alignment horizontal="right" vertical="center"/>
      <protection locked="0"/>
    </xf>
    <xf numFmtId="0" fontId="37" fillId="14" borderId="69" xfId="24" applyFont="1" applyFill="1" applyBorder="1" applyAlignment="1" applyProtection="1">
      <alignment horizontal="center" vertical="center"/>
    </xf>
    <xf numFmtId="0" fontId="32" fillId="14" borderId="41" xfId="0" applyFont="1" applyFill="1" applyBorder="1" applyAlignment="1" applyProtection="1">
      <alignment horizontal="left" vertical="center" wrapText="1"/>
    </xf>
    <xf numFmtId="37" fontId="32" fillId="14" borderId="70" xfId="0" applyNumberFormat="1" applyFont="1" applyFill="1" applyBorder="1" applyAlignment="1" applyProtection="1">
      <alignment vertical="center"/>
    </xf>
    <xf numFmtId="37" fontId="32" fillId="14" borderId="70" xfId="0" applyNumberFormat="1" applyFont="1" applyFill="1" applyBorder="1" applyAlignment="1" applyProtection="1">
      <alignment vertical="center"/>
      <protection locked="0"/>
    </xf>
    <xf numFmtId="3" fontId="32" fillId="14" borderId="41" xfId="0" applyNumberFormat="1" applyFont="1" applyFill="1" applyBorder="1" applyAlignment="1" applyProtection="1">
      <alignment vertical="center"/>
    </xf>
    <xf numFmtId="0" fontId="33" fillId="14" borderId="41" xfId="0" applyFont="1" applyFill="1" applyBorder="1" applyAlignment="1" applyProtection="1">
      <alignment horizontal="left" vertical="center" wrapText="1"/>
    </xf>
    <xf numFmtId="37" fontId="22" fillId="14" borderId="70" xfId="0" applyNumberFormat="1" applyFont="1" applyFill="1" applyBorder="1" applyAlignment="1" applyProtection="1">
      <alignment vertical="center"/>
      <protection locked="0"/>
    </xf>
    <xf numFmtId="37" fontId="32" fillId="14" borderId="70" xfId="0" applyNumberFormat="1" applyFont="1" applyFill="1" applyBorder="1" applyAlignment="1" applyProtection="1">
      <alignment horizontal="right" vertical="center"/>
      <protection locked="0"/>
    </xf>
    <xf numFmtId="0" fontId="37" fillId="14" borderId="97" xfId="24" applyFont="1" applyFill="1" applyBorder="1" applyAlignment="1" applyProtection="1">
      <alignment horizontal="center" vertical="center"/>
    </xf>
    <xf numFmtId="0" fontId="32" fillId="14" borderId="98" xfId="0" applyFont="1" applyFill="1" applyBorder="1" applyAlignment="1" applyProtection="1">
      <alignment horizontal="left" vertical="center" wrapText="1"/>
    </xf>
    <xf numFmtId="37" fontId="32" fillId="14" borderId="74" xfId="0" applyNumberFormat="1" applyFont="1" applyFill="1" applyBorder="1" applyAlignment="1" applyProtection="1">
      <alignment vertical="center"/>
    </xf>
    <xf numFmtId="0" fontId="33" fillId="14" borderId="41" xfId="0" applyFont="1" applyFill="1" applyBorder="1" applyAlignment="1" applyProtection="1">
      <alignment vertical="center" wrapText="1"/>
    </xf>
    <xf numFmtId="3" fontId="22" fillId="14" borderId="41" xfId="0" applyNumberFormat="1" applyFont="1" applyFill="1" applyBorder="1" applyAlignment="1" applyProtection="1">
      <alignment vertical="center" wrapText="1"/>
    </xf>
    <xf numFmtId="37" fontId="33" fillId="14" borderId="70" xfId="0" applyNumberFormat="1" applyFont="1" applyFill="1" applyBorder="1" applyAlignment="1" applyProtection="1">
      <alignment vertical="center"/>
      <protection locked="0"/>
    </xf>
    <xf numFmtId="37" fontId="24" fillId="0" borderId="50" xfId="0" applyNumberFormat="1" applyFont="1" applyFill="1" applyBorder="1" applyAlignment="1" applyProtection="1">
      <alignment horizontal="right" vertical="center"/>
      <protection locked="0"/>
    </xf>
    <xf numFmtId="37" fontId="24" fillId="0" borderId="50" xfId="0" applyNumberFormat="1" applyFont="1" applyBorder="1" applyAlignment="1" applyProtection="1">
      <alignment horizontal="right" vertical="center"/>
      <protection locked="0"/>
    </xf>
    <xf numFmtId="37" fontId="35" fillId="19" borderId="87" xfId="0" applyNumberFormat="1" applyFont="1" applyFill="1" applyBorder="1" applyAlignment="1" applyProtection="1">
      <alignment horizontal="right" vertical="center"/>
    </xf>
    <xf numFmtId="37" fontId="32" fillId="19" borderId="70" xfId="0" applyNumberFormat="1" applyFont="1" applyFill="1" applyBorder="1" applyAlignment="1" applyProtection="1">
      <alignment horizontal="right" vertical="center"/>
    </xf>
    <xf numFmtId="37" fontId="28" fillId="14" borderId="70" xfId="0" applyNumberFormat="1" applyFont="1" applyFill="1" applyBorder="1" applyAlignment="1" applyProtection="1">
      <alignment horizontal="right" vertical="center"/>
    </xf>
    <xf numFmtId="37" fontId="24" fillId="0" borderId="70" xfId="0" applyNumberFormat="1" applyFont="1" applyFill="1" applyBorder="1" applyAlignment="1" applyProtection="1">
      <alignment horizontal="right" vertical="center"/>
      <protection locked="0"/>
    </xf>
    <xf numFmtId="37" fontId="35" fillId="19" borderId="74" xfId="0" applyNumberFormat="1" applyFont="1" applyFill="1" applyBorder="1" applyAlignment="1" applyProtection="1">
      <alignment horizontal="right" vertical="center"/>
    </xf>
    <xf numFmtId="37" fontId="24" fillId="0" borderId="76" xfId="0" applyNumberFormat="1" applyFont="1" applyFill="1" applyBorder="1" applyAlignment="1" applyProtection="1">
      <alignment horizontal="right" vertical="center"/>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0" xfId="24" applyNumberFormat="1" applyFont="1" applyFill="1" applyBorder="1" applyAlignment="1" applyProtection="1">
      <alignment vertical="center"/>
    </xf>
    <xf numFmtId="37" fontId="25" fillId="13" borderId="40" xfId="24" applyNumberFormat="1" applyFont="1" applyFill="1" applyBorder="1" applyAlignment="1" applyProtection="1">
      <alignment vertical="center"/>
      <protection locked="0"/>
    </xf>
    <xf numFmtId="37" fontId="25" fillId="0" borderId="40" xfId="24" applyNumberFormat="1" applyFont="1" applyFill="1" applyBorder="1" applyAlignment="1" applyProtection="1">
      <alignment vertical="center"/>
      <protection locked="0"/>
    </xf>
    <xf numFmtId="37" fontId="38" fillId="19" borderId="40" xfId="24" applyNumberFormat="1" applyFont="1" applyFill="1" applyBorder="1" applyAlignment="1" applyProtection="1">
      <alignment vertical="center"/>
    </xf>
    <xf numFmtId="37" fontId="25" fillId="0" borderId="40" xfId="0" applyNumberFormat="1" applyFont="1" applyFill="1" applyBorder="1" applyAlignment="1" applyProtection="1">
      <alignment horizontal="right" vertical="center"/>
      <protection locked="0"/>
    </xf>
    <xf numFmtId="37" fontId="25" fillId="0" borderId="63" xfId="24" applyNumberFormat="1" applyFont="1" applyFill="1" applyBorder="1" applyAlignment="1" applyProtection="1">
      <alignment horizontal="right" vertical="center"/>
      <protection locked="0"/>
    </xf>
    <xf numFmtId="37" fontId="43" fillId="19" borderId="62"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3" xfId="24" applyNumberFormat="1" applyFont="1" applyFill="1" applyBorder="1" applyAlignment="1" applyProtection="1">
      <alignment vertical="center"/>
    </xf>
    <xf numFmtId="37" fontId="25" fillId="13" borderId="52" xfId="24" applyNumberFormat="1" applyFont="1" applyFill="1" applyBorder="1" applyAlignment="1" applyProtection="1">
      <alignment vertical="center"/>
      <protection locked="0"/>
    </xf>
    <xf numFmtId="37" fontId="25" fillId="0" borderId="52" xfId="24" applyNumberFormat="1" applyFont="1" applyFill="1" applyBorder="1" applyAlignment="1" applyProtection="1">
      <alignment vertical="center"/>
      <protection locked="0"/>
    </xf>
    <xf numFmtId="37" fontId="38" fillId="19" borderId="52" xfId="24" applyNumberFormat="1" applyFont="1" applyFill="1" applyBorder="1" applyAlignment="1" applyProtection="1">
      <alignment vertical="center"/>
    </xf>
    <xf numFmtId="37" fontId="25" fillId="0" borderId="52" xfId="0" applyNumberFormat="1" applyFont="1" applyFill="1" applyBorder="1" applyAlignment="1" applyProtection="1">
      <alignment horizontal="right" vertical="center"/>
      <protection locked="0"/>
    </xf>
    <xf numFmtId="37" fontId="25" fillId="0" borderId="134" xfId="24" applyNumberFormat="1" applyFont="1" applyFill="1" applyBorder="1" applyAlignment="1" applyProtection="1">
      <alignment horizontal="right" vertical="center"/>
      <protection locked="0"/>
    </xf>
    <xf numFmtId="37" fontId="43" fillId="19" borderId="135" xfId="24" applyNumberFormat="1" applyFont="1" applyFill="1" applyBorder="1" applyProtection="1"/>
    <xf numFmtId="37" fontId="38" fillId="19" borderId="59" xfId="24" applyNumberFormat="1" applyFont="1" applyFill="1" applyBorder="1" applyAlignment="1" applyProtection="1">
      <alignment vertical="center"/>
    </xf>
    <xf numFmtId="37" fontId="25" fillId="14" borderId="35" xfId="24" applyNumberFormat="1" applyFont="1" applyFill="1" applyBorder="1" applyAlignment="1" applyProtection="1">
      <alignment vertical="center"/>
    </xf>
    <xf numFmtId="37" fontId="38" fillId="19" borderId="35" xfId="24" applyNumberFormat="1" applyFont="1" applyFill="1" applyBorder="1" applyAlignment="1" applyProtection="1">
      <alignment vertical="center"/>
    </xf>
    <xf numFmtId="37" fontId="25" fillId="23" borderId="35" xfId="24" applyNumberFormat="1" applyFont="1" applyFill="1" applyBorder="1" applyAlignment="1" applyProtection="1">
      <alignment vertical="center"/>
    </xf>
    <xf numFmtId="37" fontId="25" fillId="14" borderId="38" xfId="24" applyNumberFormat="1" applyFont="1" applyFill="1" applyBorder="1" applyAlignment="1" applyProtection="1">
      <alignment horizontal="right" vertical="center"/>
    </xf>
    <xf numFmtId="37" fontId="25" fillId="23" borderId="38" xfId="24" applyNumberFormat="1" applyFont="1" applyFill="1" applyBorder="1" applyAlignment="1" applyProtection="1">
      <alignment horizontal="left" vertical="center"/>
    </xf>
    <xf numFmtId="37" fontId="43" fillId="19" borderId="96"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59" xfId="24" applyNumberFormat="1" applyFont="1" applyFill="1" applyBorder="1" applyAlignment="1" applyProtection="1">
      <alignment vertical="center"/>
    </xf>
    <xf numFmtId="37" fontId="26" fillId="14" borderId="35" xfId="24" applyNumberFormat="1" applyFont="1" applyFill="1" applyBorder="1" applyAlignment="1" applyProtection="1">
      <alignment vertical="center"/>
    </xf>
    <xf numFmtId="37" fontId="35" fillId="19" borderId="35" xfId="24" applyNumberFormat="1" applyFont="1" applyFill="1" applyBorder="1" applyAlignment="1" applyProtection="1">
      <alignment vertical="center"/>
    </xf>
    <xf numFmtId="37" fontId="40" fillId="19" borderId="96"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0" xfId="0" applyNumberFormat="1" applyFont="1" applyFill="1" applyBorder="1" applyAlignment="1" applyProtection="1">
      <alignment horizontal="left" vertical="center"/>
    </xf>
    <xf numFmtId="0" fontId="0" fillId="0" borderId="136"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7" xfId="23" applyNumberFormat="1" applyFont="1" applyBorder="1" applyAlignment="1" applyProtection="1">
      <alignment horizontal="justify" vertical="top" wrapText="1"/>
      <protection locked="0"/>
    </xf>
    <xf numFmtId="49" fontId="0" fillId="0" borderId="17"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6"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7" xfId="0" applyFont="1" applyBorder="1" applyAlignment="1" applyProtection="1">
      <alignment horizontal="right" wrapText="1"/>
      <protection locked="0"/>
    </xf>
    <xf numFmtId="0" fontId="52" fillId="0" borderId="41" xfId="0" applyFont="1" applyFill="1" applyBorder="1" applyAlignment="1" applyProtection="1">
      <alignment vertical="center" wrapText="1"/>
    </xf>
    <xf numFmtId="0" fontId="24" fillId="0" borderId="0" xfId="0" applyFont="1" applyFill="1" applyProtection="1">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37" fontId="24" fillId="0" borderId="2" xfId="0" applyNumberFormat="1" applyFont="1" applyFill="1" applyBorder="1" applyAlignment="1" applyProtection="1">
      <alignment horizontal="center" vertical="center" wrapText="1"/>
      <protection locked="0"/>
    </xf>
    <xf numFmtId="37" fontId="24" fillId="0" borderId="1" xfId="0" applyNumberFormat="1" applyFont="1" applyFill="1" applyBorder="1" applyAlignment="1" applyProtection="1">
      <alignment horizontal="center" vertical="center" wrapText="1"/>
      <protection locked="0"/>
    </xf>
    <xf numFmtId="37" fontId="24" fillId="0" borderId="3" xfId="0" applyNumberFormat="1" applyFont="1" applyFill="1" applyBorder="1" applyAlignment="1" applyProtection="1">
      <alignment horizontal="center" vertical="center" wrapText="1"/>
      <protection locked="0"/>
    </xf>
    <xf numFmtId="37" fontId="24" fillId="0" borderId="2" xfId="0" applyNumberFormat="1" applyFont="1" applyFill="1" applyBorder="1" applyAlignment="1" applyProtection="1">
      <alignment vertical="center" wrapText="1"/>
      <protection locked="0"/>
    </xf>
    <xf numFmtId="37" fontId="24" fillId="0" borderId="1" xfId="0" applyNumberFormat="1" applyFont="1" applyFill="1" applyBorder="1" applyAlignment="1" applyProtection="1">
      <alignment vertical="center" wrapText="1"/>
      <protection locked="0"/>
    </xf>
    <xf numFmtId="37" fontId="24" fillId="0" borderId="3" xfId="0" applyNumberFormat="1" applyFont="1" applyFill="1" applyBorder="1" applyAlignment="1" applyProtection="1">
      <alignment vertical="center" wrapText="1"/>
      <protection locked="0"/>
    </xf>
    <xf numFmtId="168" fontId="42" fillId="19" borderId="97" xfId="0" applyNumberFormat="1" applyFont="1" applyFill="1" applyBorder="1" applyAlignment="1" applyProtection="1">
      <alignment horizontal="right" vertical="center"/>
    </xf>
    <xf numFmtId="168" fontId="42" fillId="19" borderId="98" xfId="0" applyNumberFormat="1" applyFont="1" applyFill="1" applyBorder="1" applyAlignment="1" applyProtection="1">
      <alignment horizontal="right" vertical="center"/>
    </xf>
    <xf numFmtId="168" fontId="31" fillId="0" borderId="103" xfId="0" applyNumberFormat="1" applyFont="1" applyBorder="1" applyAlignment="1" applyProtection="1">
      <alignment horizontal="center" vertical="center" wrapText="1"/>
    </xf>
    <xf numFmtId="168" fontId="31" fillId="0" borderId="104"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99" xfId="0" applyFont="1" applyFill="1" applyBorder="1" applyAlignment="1" applyProtection="1">
      <alignment horizontal="center" vertical="center" wrapText="1"/>
    </xf>
    <xf numFmtId="0" fontId="32" fillId="19" borderId="71" xfId="0" applyFont="1" applyFill="1" applyBorder="1" applyAlignment="1" applyProtection="1">
      <alignment horizontal="center" vertical="center" wrapText="1"/>
    </xf>
    <xf numFmtId="0" fontId="32" fillId="19" borderId="100" xfId="0" applyFont="1" applyFill="1" applyBorder="1" applyAlignment="1" applyProtection="1">
      <alignment horizontal="center" vertical="center" wrapText="1"/>
    </xf>
    <xf numFmtId="0" fontId="32" fillId="19" borderId="101" xfId="0" applyFont="1" applyFill="1" applyBorder="1" applyAlignment="1" applyProtection="1">
      <alignment horizontal="center" vertical="center" wrapText="1"/>
    </xf>
    <xf numFmtId="164" fontId="32" fillId="19" borderId="102" xfId="0" applyNumberFormat="1" applyFont="1" applyFill="1" applyBorder="1" applyAlignment="1" applyProtection="1">
      <alignment horizontal="center" vertical="center" wrapText="1"/>
    </xf>
    <xf numFmtId="164" fontId="32" fillId="19" borderId="73" xfId="0" applyNumberFormat="1" applyFont="1" applyFill="1" applyBorder="1" applyAlignment="1" applyProtection="1">
      <alignment horizontal="center" vertical="center" wrapText="1"/>
    </xf>
    <xf numFmtId="0" fontId="39" fillId="0" borderId="107" xfId="0" applyFont="1" applyFill="1" applyBorder="1" applyAlignment="1">
      <alignment horizontal="center" vertical="top" wrapText="1"/>
    </xf>
    <xf numFmtId="0" fontId="39" fillId="0" borderId="49" xfId="0" applyFont="1" applyFill="1" applyBorder="1" applyAlignment="1">
      <alignment horizontal="center" vertical="top"/>
    </xf>
    <xf numFmtId="0" fontId="39" fillId="0" borderId="108"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09" xfId="0" applyNumberFormat="1" applyFont="1" applyFill="1" applyBorder="1" applyAlignment="1">
      <alignment horizontal="center" vertical="center" wrapText="1"/>
    </xf>
    <xf numFmtId="0" fontId="35" fillId="19" borderId="110" xfId="0" applyFont="1" applyFill="1" applyBorder="1" applyAlignment="1">
      <alignment horizontal="center" vertical="center" wrapText="1"/>
    </xf>
    <xf numFmtId="0" fontId="35" fillId="19" borderId="111" xfId="0" applyFont="1" applyFill="1" applyBorder="1" applyAlignment="1">
      <alignment horizontal="center" vertical="center" wrapText="1"/>
    </xf>
    <xf numFmtId="0" fontId="35" fillId="19" borderId="105" xfId="0" applyFont="1" applyFill="1" applyBorder="1" applyAlignment="1">
      <alignment horizontal="center" vertical="center" wrapText="1"/>
    </xf>
    <xf numFmtId="0" fontId="35" fillId="19" borderId="106" xfId="0" applyFont="1" applyFill="1" applyBorder="1" applyAlignment="1">
      <alignment horizontal="center" vertical="center" wrapText="1"/>
    </xf>
    <xf numFmtId="41" fontId="35" fillId="19" borderId="128"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29" xfId="0" applyNumberFormat="1" applyFont="1" applyFill="1" applyBorder="1" applyAlignment="1">
      <alignment horizontal="center" vertical="center"/>
    </xf>
    <xf numFmtId="41" fontId="35" fillId="19" borderId="130" xfId="0" applyNumberFormat="1" applyFont="1" applyFill="1" applyBorder="1" applyAlignment="1">
      <alignment horizontal="center" vertical="center" wrapText="1"/>
    </xf>
    <xf numFmtId="41" fontId="35" fillId="19" borderId="131" xfId="0" applyNumberFormat="1" applyFont="1" applyFill="1" applyBorder="1" applyAlignment="1">
      <alignment horizontal="center" vertical="center" wrapText="1"/>
    </xf>
    <xf numFmtId="41" fontId="35" fillId="19" borderId="132"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2" xfId="0" applyFont="1" applyFill="1" applyBorder="1" applyAlignment="1" applyProtection="1">
      <alignment horizontal="left" vertical="center" wrapText="1"/>
    </xf>
    <xf numFmtId="0" fontId="28" fillId="0" borderId="57" xfId="0" applyFont="1" applyFill="1" applyBorder="1" applyAlignment="1" applyProtection="1">
      <alignment horizontal="center" wrapText="1"/>
    </xf>
    <xf numFmtId="0" fontId="28" fillId="0" borderId="95"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2" xfId="0" applyFont="1" applyFill="1" applyBorder="1" applyAlignment="1" applyProtection="1">
      <alignment horizontal="left" vertical="center" wrapText="1"/>
    </xf>
    <xf numFmtId="0" fontId="43" fillId="19" borderId="96" xfId="24" applyFont="1" applyFill="1" applyBorder="1" applyAlignment="1" applyProtection="1">
      <alignment horizontal="right"/>
    </xf>
    <xf numFmtId="0" fontId="43" fillId="19" borderId="61" xfId="24" applyFont="1" applyFill="1" applyBorder="1" applyAlignment="1" applyProtection="1">
      <alignment horizontal="right"/>
    </xf>
    <xf numFmtId="0" fontId="38" fillId="19" borderId="55" xfId="0" applyFont="1" applyFill="1" applyBorder="1" applyAlignment="1" applyProtection="1">
      <alignment horizontal="left" vertical="center" wrapText="1"/>
    </xf>
    <xf numFmtId="0" fontId="25" fillId="0" borderId="52" xfId="0" applyFont="1" applyFill="1" applyBorder="1" applyAlignment="1" applyProtection="1">
      <alignment horizontal="left" vertical="center" wrapText="1"/>
    </xf>
    <xf numFmtId="0" fontId="25" fillId="0" borderId="53" xfId="0"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25" fillId="0" borderId="52" xfId="24" applyFont="1" applyFill="1" applyBorder="1" applyAlignment="1" applyProtection="1">
      <alignment horizontal="left" vertical="center"/>
    </xf>
    <xf numFmtId="0" fontId="25" fillId="0" borderId="53" xfId="24" applyFont="1" applyFill="1" applyBorder="1" applyAlignment="1" applyProtection="1">
      <alignment horizontal="left" vertical="center"/>
    </xf>
    <xf numFmtId="0" fontId="25" fillId="0" borderId="54" xfId="24" applyFont="1" applyFill="1" applyBorder="1" applyAlignment="1" applyProtection="1">
      <alignment horizontal="left" vertical="center"/>
    </xf>
    <xf numFmtId="0" fontId="25" fillId="0" borderId="52" xfId="24" applyFont="1" applyFill="1" applyBorder="1" applyAlignment="1" applyProtection="1">
      <alignment horizontal="left" vertical="center" wrapText="1"/>
    </xf>
    <xf numFmtId="0" fontId="25" fillId="0" borderId="32" xfId="24" applyFont="1" applyFill="1" applyBorder="1" applyAlignment="1" applyProtection="1">
      <alignment horizontal="left" vertical="center"/>
    </xf>
    <xf numFmtId="0" fontId="25" fillId="0" borderId="32"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2" xfId="0" applyFont="1" applyFill="1" applyBorder="1" applyAlignment="1" applyProtection="1">
      <alignment horizontal="left" vertical="center" wrapText="1"/>
    </xf>
    <xf numFmtId="0" fontId="27" fillId="0" borderId="95" xfId="0" applyFont="1" applyFill="1" applyBorder="1" applyAlignment="1" applyProtection="1">
      <alignment horizontal="center" vertical="center"/>
    </xf>
    <xf numFmtId="0" fontId="26" fillId="0" borderId="32" xfId="24" applyFont="1" applyFill="1" applyBorder="1" applyAlignment="1" applyProtection="1">
      <alignment horizontal="left" vertical="center"/>
    </xf>
    <xf numFmtId="0" fontId="26" fillId="0" borderId="52" xfId="24" applyFont="1" applyFill="1" applyBorder="1" applyAlignment="1" applyProtection="1">
      <alignment horizontal="left" vertical="center"/>
    </xf>
    <xf numFmtId="0" fontId="26" fillId="0" borderId="53" xfId="24" applyFont="1" applyFill="1" applyBorder="1" applyAlignment="1" applyProtection="1">
      <alignment horizontal="left" vertical="center"/>
    </xf>
    <xf numFmtId="0" fontId="26" fillId="0" borderId="54" xfId="24" applyFont="1" applyFill="1" applyBorder="1" applyAlignment="1" applyProtection="1">
      <alignment horizontal="left" vertical="center"/>
    </xf>
    <xf numFmtId="0" fontId="35" fillId="19" borderId="32" xfId="0" applyFont="1" applyFill="1" applyBorder="1" applyAlignment="1" applyProtection="1">
      <alignment horizontal="left" vertical="center" wrapText="1"/>
    </xf>
    <xf numFmtId="0" fontId="26" fillId="0" borderId="39" xfId="0" applyFont="1" applyFill="1" applyBorder="1" applyAlignment="1" applyProtection="1">
      <alignment horizontal="left" vertical="center" wrapText="1"/>
    </xf>
    <xf numFmtId="0" fontId="40" fillId="19" borderId="96" xfId="24" applyFont="1" applyFill="1" applyBorder="1" applyAlignment="1" applyProtection="1">
      <alignment horizontal="right"/>
    </xf>
    <xf numFmtId="0" fontId="40" fillId="19" borderId="61" xfId="24" applyFont="1" applyFill="1" applyBorder="1" applyAlignment="1" applyProtection="1">
      <alignment horizontal="right"/>
    </xf>
    <xf numFmtId="0" fontId="26" fillId="0" borderId="52" xfId="0" applyFont="1" applyFill="1" applyBorder="1" applyAlignment="1" applyProtection="1">
      <alignment horizontal="left" vertical="center" wrapText="1"/>
    </xf>
    <xf numFmtId="0" fontId="26" fillId="0" borderId="53" xfId="0" applyFont="1" applyFill="1" applyBorder="1" applyAlignment="1" applyProtection="1">
      <alignment horizontal="left" vertical="center" wrapText="1"/>
    </xf>
    <xf numFmtId="0" fontId="26" fillId="0" borderId="54"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3"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5"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19" xfId="0" applyNumberFormat="1" applyFont="1" applyFill="1" applyBorder="1" applyAlignment="1" applyProtection="1">
      <alignment horizontal="center" vertical="center"/>
    </xf>
    <xf numFmtId="49" fontId="35" fillId="19" borderId="120" xfId="0" applyNumberFormat="1" applyFont="1" applyFill="1" applyBorder="1" applyAlignment="1" applyProtection="1">
      <alignment horizontal="center" vertical="center"/>
    </xf>
    <xf numFmtId="49" fontId="35" fillId="19" borderId="121" xfId="0" applyNumberFormat="1"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07" xfId="0" applyFont="1" applyFill="1" applyBorder="1" applyAlignment="1" applyProtection="1">
      <alignment horizontal="center" vertical="center"/>
    </xf>
    <xf numFmtId="0" fontId="31" fillId="0" borderId="49" xfId="0" applyFont="1" applyFill="1" applyBorder="1" applyAlignment="1" applyProtection="1">
      <alignment horizontal="center" vertical="center"/>
    </xf>
    <xf numFmtId="0" fontId="31" fillId="0" borderId="108" xfId="0" applyFont="1" applyFill="1" applyBorder="1" applyAlignment="1" applyProtection="1">
      <alignment horizontal="center" vertical="center"/>
    </xf>
    <xf numFmtId="0" fontId="40" fillId="19" borderId="123" xfId="0" applyFont="1" applyFill="1" applyBorder="1" applyAlignment="1" applyProtection="1">
      <alignment horizontal="right" vertical="center" wrapText="1"/>
    </xf>
    <xf numFmtId="0" fontId="40" fillId="19" borderId="124" xfId="0" applyFont="1" applyFill="1" applyBorder="1" applyAlignment="1" applyProtection="1">
      <alignment horizontal="right" vertical="center" wrapText="1"/>
    </xf>
    <xf numFmtId="0" fontId="40" fillId="19" borderId="125" xfId="0" applyFont="1" applyFill="1" applyBorder="1" applyAlignment="1" applyProtection="1">
      <alignment horizontal="right" vertical="center" wrapText="1"/>
    </xf>
    <xf numFmtId="0" fontId="30" fillId="0" borderId="14"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3" xfId="0" applyNumberFormat="1" applyFont="1" applyFill="1" applyBorder="1" applyAlignment="1" applyProtection="1">
      <alignment horizontal="center" vertical="center"/>
    </xf>
    <xf numFmtId="49" fontId="32" fillId="19" borderId="89" xfId="0" applyNumberFormat="1" applyFont="1" applyFill="1" applyBorder="1" applyAlignment="1" applyProtection="1">
      <alignment horizontal="center" vertical="center"/>
    </xf>
    <xf numFmtId="49" fontId="32" fillId="19" borderId="88" xfId="0" applyNumberFormat="1" applyFont="1" applyFill="1" applyBorder="1" applyAlignment="1" applyProtection="1">
      <alignment horizontal="center" vertical="center"/>
    </xf>
    <xf numFmtId="0" fontId="32" fillId="19" borderId="51" xfId="0" applyFont="1" applyFill="1" applyBorder="1" applyAlignment="1" applyProtection="1">
      <alignment horizontal="left" vertical="center" wrapText="1"/>
    </xf>
    <xf numFmtId="0" fontId="32" fillId="19" borderId="72" xfId="0" applyFont="1" applyFill="1" applyBorder="1" applyAlignment="1" applyProtection="1">
      <alignment horizontal="left" vertical="center" wrapText="1"/>
    </xf>
    <xf numFmtId="0" fontId="32" fillId="19" borderId="68" xfId="0" applyFont="1" applyFill="1" applyBorder="1" applyAlignment="1" applyProtection="1">
      <alignment horizontal="left" vertical="center" wrapText="1"/>
    </xf>
    <xf numFmtId="0" fontId="28" fillId="14" borderId="51" xfId="0" applyFont="1" applyFill="1" applyBorder="1" applyAlignment="1" applyProtection="1">
      <alignment horizontal="left" vertical="center" wrapText="1"/>
    </xf>
    <xf numFmtId="0" fontId="28" fillId="14" borderId="72" xfId="0" applyFont="1" applyFill="1" applyBorder="1" applyAlignment="1" applyProtection="1">
      <alignment horizontal="left" vertical="center" wrapText="1"/>
    </xf>
    <xf numFmtId="0" fontId="28" fillId="14" borderId="68" xfId="0" applyFont="1" applyFill="1" applyBorder="1" applyAlignment="1" applyProtection="1">
      <alignment horizontal="left" vertical="center" wrapText="1"/>
    </xf>
    <xf numFmtId="37" fontId="32" fillId="19" borderId="99" xfId="0" applyNumberFormat="1" applyFont="1" applyFill="1" applyBorder="1" applyAlignment="1" applyProtection="1">
      <alignment horizontal="left" vertical="center"/>
    </xf>
    <xf numFmtId="37" fontId="32" fillId="19" borderId="102"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99" xfId="0" applyNumberFormat="1" applyFont="1" applyFill="1" applyBorder="1" applyAlignment="1" applyProtection="1">
      <alignment horizontal="left" vertical="center" wrapText="1"/>
    </xf>
    <xf numFmtId="37" fontId="32" fillId="19" borderId="102" xfId="0" applyNumberFormat="1" applyFont="1" applyFill="1" applyBorder="1" applyAlignment="1" applyProtection="1">
      <alignment horizontal="left" vertical="center" wrapText="1"/>
    </xf>
    <xf numFmtId="0" fontId="46" fillId="0" borderId="15" xfId="0" applyFont="1" applyBorder="1" applyAlignment="1" applyProtection="1">
      <alignment horizontal="left"/>
    </xf>
    <xf numFmtId="0" fontId="30" fillId="0" borderId="27"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0" fontId="32" fillId="17" borderId="24"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4"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7"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5"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0" fontId="24" fillId="0" borderId="26"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12" xfId="23" applyNumberFormat="1" applyFont="1" applyFill="1" applyBorder="1" applyAlignment="1" applyProtection="1">
      <alignment horizontal="right" vertical="center"/>
      <protection locked="0"/>
    </xf>
    <xf numFmtId="0" fontId="32" fillId="17" borderId="14"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5"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0"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1"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xf>
    <xf numFmtId="0" fontId="32" fillId="17" borderId="15"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8" xfId="0" applyFont="1" applyFill="1" applyBorder="1" applyAlignment="1" applyProtection="1">
      <alignment horizontal="center" vertical="center"/>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0" xfId="0" applyNumberFormat="1" applyFont="1" applyFill="1" applyBorder="1" applyAlignment="1" applyProtection="1">
      <alignment horizontal="right" vertical="center"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37" fontId="24" fillId="0" borderId="113" xfId="0" applyNumberFormat="1" applyFont="1" applyFill="1" applyBorder="1" applyAlignment="1" applyProtection="1">
      <alignment horizontal="right" vertical="center" wrapText="1"/>
      <protection locked="0"/>
    </xf>
    <xf numFmtId="37" fontId="24" fillId="0" borderId="114" xfId="0" applyNumberFormat="1" applyFont="1" applyFill="1" applyBorder="1" applyAlignment="1" applyProtection="1">
      <alignment horizontal="right" vertical="center" wrapText="1"/>
      <protection locked="0"/>
    </xf>
    <xf numFmtId="37" fontId="24" fillId="0" borderId="115" xfId="0" applyNumberFormat="1" applyFont="1" applyFill="1" applyBorder="1" applyAlignment="1" applyProtection="1">
      <alignment horizontal="right" vertical="center" wrapText="1"/>
      <protection locked="0"/>
    </xf>
    <xf numFmtId="0" fontId="24" fillId="0" borderId="24"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12" xfId="0" applyFont="1" applyFill="1" applyBorder="1" applyAlignment="1" applyProtection="1">
      <alignment horizontal="left" vertical="top"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37" fontId="24" fillId="14" borderId="137" xfId="0" applyNumberFormat="1" applyFont="1" applyFill="1" applyBorder="1" applyAlignment="1" applyProtection="1">
      <alignment horizontal="right" vertical="center" wrapText="1"/>
      <protection locked="0"/>
    </xf>
    <xf numFmtId="3" fontId="24" fillId="0" borderId="0" xfId="0" applyNumberFormat="1" applyFont="1" applyAlignment="1">
      <alignment horizontal="center"/>
    </xf>
    <xf numFmtId="0" fontId="24" fillId="0" borderId="0" xfId="0" applyFont="1" applyAlignment="1">
      <alignment horizontal="center"/>
    </xf>
    <xf numFmtId="37" fontId="24" fillId="0" borderId="16" xfId="0" applyNumberFormat="1" applyFont="1" applyFill="1" applyBorder="1" applyAlignment="1" applyProtection="1">
      <alignment horizontal="right" vertical="center" wrapText="1"/>
      <protection locked="0"/>
    </xf>
    <xf numFmtId="37" fontId="24" fillId="14" borderId="16" xfId="0" applyNumberFormat="1" applyFont="1" applyFill="1" applyBorder="1" applyAlignment="1" applyProtection="1">
      <alignment horizontal="right" vertical="center" wrapText="1"/>
      <protection locked="0"/>
    </xf>
    <xf numFmtId="37" fontId="24" fillId="14" borderId="25" xfId="0" applyNumberFormat="1" applyFont="1" applyFill="1" applyBorder="1" applyAlignment="1" applyProtection="1">
      <alignment horizontal="right" vertical="center" wrapText="1"/>
      <protection locked="0"/>
    </xf>
    <xf numFmtId="37" fontId="24" fillId="0" borderId="2" xfId="0" applyNumberFormat="1" applyFont="1" applyFill="1" applyBorder="1" applyAlignment="1" applyProtection="1">
      <alignment horizontal="center" vertical="center" wrapText="1"/>
      <protection locked="0"/>
    </xf>
    <xf numFmtId="37" fontId="24" fillId="0" borderId="1" xfId="0" applyNumberFormat="1" applyFont="1" applyFill="1" applyBorder="1" applyAlignment="1" applyProtection="1">
      <alignment horizontal="center" vertical="center" wrapText="1"/>
      <protection locked="0"/>
    </xf>
    <xf numFmtId="37" fontId="24" fillId="0" borderId="3" xfId="0" applyNumberFormat="1" applyFont="1" applyFill="1" applyBorder="1" applyAlignment="1" applyProtection="1">
      <alignment horizontal="center" vertical="center" wrapText="1"/>
      <protection locked="0"/>
    </xf>
    <xf numFmtId="0" fontId="24" fillId="0" borderId="26" xfId="0" applyFont="1" applyFill="1" applyBorder="1" applyAlignment="1" applyProtection="1">
      <alignment horizontal="left" vertical="top" wrapText="1"/>
      <protection locked="0"/>
    </xf>
    <xf numFmtId="169" fontId="24" fillId="0" borderId="2" xfId="0" applyNumberFormat="1" applyFont="1" applyFill="1" applyBorder="1" applyAlignment="1" applyProtection="1">
      <alignment horizontal="center" vertical="center"/>
      <protection locked="0"/>
    </xf>
    <xf numFmtId="169" fontId="24" fillId="0" borderId="1" xfId="0" applyNumberFormat="1" applyFont="1" applyFill="1" applyBorder="1" applyAlignment="1" applyProtection="1">
      <alignment horizontal="center" vertical="center"/>
      <protection locked="0"/>
    </xf>
    <xf numFmtId="169" fontId="24" fillId="0" borderId="3" xfId="0" applyNumberFormat="1"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26" xfId="0" applyFont="1" applyFill="1" applyBorder="1" applyAlignment="1" applyProtection="1">
      <alignment vertical="top" wrapText="1"/>
      <protection locked="0"/>
    </xf>
    <xf numFmtId="0" fontId="24" fillId="0" borderId="1" xfId="0" applyFont="1" applyFill="1" applyBorder="1" applyAlignment="1" applyProtection="1">
      <alignment vertical="top" wrapText="1"/>
      <protection locked="0"/>
    </xf>
    <xf numFmtId="0" fontId="24" fillId="0" borderId="3" xfId="0" applyFont="1" applyFill="1" applyBorder="1" applyAlignment="1" applyProtection="1">
      <alignment vertical="top" wrapText="1"/>
      <protection locked="0"/>
    </xf>
    <xf numFmtId="0" fontId="24" fillId="0" borderId="2" xfId="0" applyFont="1" applyFill="1" applyBorder="1" applyAlignment="1" applyProtection="1">
      <alignment vertical="top" wrapText="1"/>
      <protection locked="0"/>
    </xf>
    <xf numFmtId="37" fontId="24" fillId="0" borderId="2" xfId="23" applyNumberFormat="1" applyFont="1" applyFill="1" applyBorder="1" applyAlignment="1" applyProtection="1">
      <alignment vertical="center"/>
      <protection locked="0"/>
    </xf>
    <xf numFmtId="37" fontId="24" fillId="0" borderId="1" xfId="23" applyNumberFormat="1" applyFont="1" applyFill="1" applyBorder="1" applyAlignment="1" applyProtection="1">
      <alignment vertical="center"/>
      <protection locked="0"/>
    </xf>
    <xf numFmtId="37" fontId="24" fillId="0" borderId="3" xfId="23" applyNumberFormat="1" applyFont="1" applyFill="1" applyBorder="1" applyAlignment="1" applyProtection="1">
      <alignment vertical="center"/>
      <protection locked="0"/>
    </xf>
    <xf numFmtId="37" fontId="24" fillId="0" borderId="2" xfId="0" applyNumberFormat="1" applyFont="1" applyFill="1" applyBorder="1" applyAlignment="1" applyProtection="1">
      <alignment vertical="center" wrapText="1"/>
      <protection locked="0"/>
    </xf>
    <xf numFmtId="37" fontId="24" fillId="0" borderId="1" xfId="0" applyNumberFormat="1" applyFont="1" applyFill="1" applyBorder="1" applyAlignment="1" applyProtection="1">
      <alignment vertical="center" wrapText="1"/>
      <protection locked="0"/>
    </xf>
    <xf numFmtId="37" fontId="24" fillId="0" borderId="3" xfId="0" applyNumberFormat="1" applyFont="1" applyFill="1" applyBorder="1" applyAlignment="1" applyProtection="1">
      <alignment vertical="center" wrapText="1"/>
      <protection locked="0"/>
    </xf>
    <xf numFmtId="37" fontId="24" fillId="0" borderId="2" xfId="23" applyNumberFormat="1" applyFont="1" applyFill="1" applyBorder="1" applyAlignment="1" applyProtection="1">
      <alignment horizontal="center" vertical="center"/>
      <protection locked="0"/>
    </xf>
    <xf numFmtId="37" fontId="24" fillId="0" borderId="1" xfId="23" applyNumberFormat="1" applyFont="1" applyFill="1" applyBorder="1" applyAlignment="1" applyProtection="1">
      <alignment horizontal="center" vertical="center"/>
      <protection locked="0"/>
    </xf>
    <xf numFmtId="37" fontId="24" fillId="0" borderId="3" xfId="23" applyNumberFormat="1" applyFont="1" applyFill="1" applyBorder="1" applyAlignment="1" applyProtection="1">
      <alignment horizontal="center" vertical="center"/>
      <protection locked="0"/>
    </xf>
    <xf numFmtId="37" fontId="24" fillId="14" borderId="2" xfId="0" applyNumberFormat="1" applyFont="1" applyFill="1" applyBorder="1" applyAlignment="1" applyProtection="1">
      <alignment horizontal="center" vertical="center" wrapText="1"/>
      <protection locked="0"/>
    </xf>
    <xf numFmtId="37" fontId="24" fillId="14" borderId="1" xfId="0" applyNumberFormat="1" applyFont="1" applyFill="1" applyBorder="1" applyAlignment="1" applyProtection="1">
      <alignment horizontal="center" vertical="center" wrapText="1"/>
      <protection locked="0"/>
    </xf>
    <xf numFmtId="37" fontId="24" fillId="14" borderId="3" xfId="0" applyNumberFormat="1" applyFont="1" applyFill="1" applyBorder="1" applyAlignment="1" applyProtection="1">
      <alignment horizontal="center" vertical="center" wrapText="1"/>
      <protection locked="0"/>
    </xf>
    <xf numFmtId="37" fontId="22" fillId="17" borderId="18" xfId="0" applyNumberFormat="1" applyFont="1" applyFill="1" applyBorder="1" applyAlignment="1" applyProtection="1">
      <alignment horizontal="right" vertical="center" wrapText="1"/>
      <protection locked="0"/>
    </xf>
    <xf numFmtId="37" fontId="22" fillId="17" borderId="19" xfId="0" applyNumberFormat="1" applyFont="1" applyFill="1" applyBorder="1" applyAlignment="1" applyProtection="1">
      <alignment horizontal="right" vertical="center" wrapText="1"/>
      <protection locked="0"/>
    </xf>
    <xf numFmtId="3" fontId="24" fillId="0" borderId="13" xfId="0" applyNumberFormat="1" applyFont="1" applyBorder="1" applyAlignment="1">
      <alignment horizontal="center"/>
    </xf>
    <xf numFmtId="0" fontId="24" fillId="0" borderId="13" xfId="0" applyFont="1" applyBorder="1" applyAlignment="1">
      <alignment horizontal="center"/>
    </xf>
    <xf numFmtId="0" fontId="22" fillId="17" borderId="21" xfId="0" applyFont="1" applyFill="1" applyBorder="1" applyAlignment="1" applyProtection="1">
      <alignment horizontal="right" vertical="center" wrapText="1"/>
      <protection locked="0"/>
    </xf>
    <xf numFmtId="0" fontId="22" fillId="17" borderId="22" xfId="0" applyFont="1" applyFill="1" applyBorder="1" applyAlignment="1" applyProtection="1">
      <alignment horizontal="right" vertical="center" wrapText="1"/>
      <protection locked="0"/>
    </xf>
    <xf numFmtId="0" fontId="22" fillId="17" borderId="23" xfId="0" applyFont="1" applyFill="1" applyBorder="1" applyAlignment="1" applyProtection="1">
      <alignment horizontal="right" vertical="center" wrapText="1"/>
      <protection locked="0"/>
    </xf>
    <xf numFmtId="169" fontId="22" fillId="17" borderId="18" xfId="0" applyNumberFormat="1" applyFont="1" applyFill="1" applyBorder="1" applyAlignment="1" applyProtection="1">
      <alignment horizontal="center" vertical="center"/>
      <protection locked="0"/>
    </xf>
    <xf numFmtId="37" fontId="22" fillId="17" borderId="18" xfId="23" applyNumberFormat="1" applyFont="1" applyFill="1" applyBorder="1" applyAlignment="1" applyProtection="1">
      <alignment horizontal="right" vertical="center"/>
      <protection locked="0"/>
    </xf>
    <xf numFmtId="0" fontId="31" fillId="0" borderId="14"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7036410</c:v>
                </c:pt>
                <c:pt idx="1">
                  <c:v>63469267</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288178744"/>
        <c:axId val="366849976"/>
      </c:barChart>
      <c:catAx>
        <c:axId val="28817874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366849976"/>
        <c:crosses val="autoZero"/>
        <c:auto val="1"/>
        <c:lblAlgn val="ctr"/>
        <c:lblOffset val="100"/>
        <c:noMultiLvlLbl val="0"/>
      </c:catAx>
      <c:valAx>
        <c:axId val="366849976"/>
        <c:scaling>
          <c:orientation val="minMax"/>
        </c:scaling>
        <c:delete val="1"/>
        <c:axPos val="l"/>
        <c:majorGridlines/>
        <c:numFmt formatCode="#,##0" sourceLinked="1"/>
        <c:majorTickMark val="out"/>
        <c:minorTickMark val="none"/>
        <c:tickLblPos val="nextTo"/>
        <c:crossAx val="28817874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0</c:v>
                </c:pt>
                <c:pt idx="1">
                  <c:v>0</c:v>
                </c:pt>
                <c:pt idx="2">
                  <c:v>0</c:v>
                </c:pt>
                <c:pt idx="3">
                  <c:v>7036410</c:v>
                </c:pt>
                <c:pt idx="4">
                  <c:v>46272501</c:v>
                </c:pt>
                <c:pt idx="5">
                  <c:v>847512</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366850760"/>
        <c:axId val="366851152"/>
        <c:axId val="0"/>
      </c:bar3DChart>
      <c:catAx>
        <c:axId val="366850760"/>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366851152"/>
        <c:crosses val="autoZero"/>
        <c:auto val="1"/>
        <c:lblAlgn val="ctr"/>
        <c:lblOffset val="100"/>
        <c:noMultiLvlLbl val="0"/>
      </c:catAx>
      <c:valAx>
        <c:axId val="366851152"/>
        <c:scaling>
          <c:orientation val="minMax"/>
        </c:scaling>
        <c:delete val="0"/>
        <c:axPos val="b"/>
        <c:majorGridlines/>
        <c:numFmt formatCode="_(* #,##0_);_(* \(#,##0\);_(* &quot;-&quot;_);_(@_)" sourceLinked="1"/>
        <c:majorTickMark val="none"/>
        <c:minorTickMark val="none"/>
        <c:tickLblPos val="nextTo"/>
        <c:crossAx val="366850760"/>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16349254</c:v>
                </c:pt>
                <c:pt idx="1">
                  <c:v>0</c:v>
                </c:pt>
                <c:pt idx="2">
                  <c:v>0</c:v>
                </c:pt>
              </c:numCache>
            </c:numRef>
          </c:val>
        </c:ser>
        <c:dLbls>
          <c:showLegendKey val="0"/>
          <c:showVal val="0"/>
          <c:showCatName val="0"/>
          <c:showSerName val="0"/>
          <c:showPercent val="0"/>
          <c:showBubbleSize val="0"/>
        </c:dLbls>
        <c:gapWidth val="55"/>
        <c:gapDepth val="55"/>
        <c:shape val="cylinder"/>
        <c:axId val="366851936"/>
        <c:axId val="366852328"/>
        <c:axId val="0"/>
      </c:bar3DChart>
      <c:catAx>
        <c:axId val="366851936"/>
        <c:scaling>
          <c:orientation val="minMax"/>
        </c:scaling>
        <c:delete val="1"/>
        <c:axPos val="l"/>
        <c:numFmt formatCode="General" sourceLinked="1"/>
        <c:majorTickMark val="none"/>
        <c:minorTickMark val="none"/>
        <c:tickLblPos val="nextTo"/>
        <c:crossAx val="366852328"/>
        <c:crosses val="autoZero"/>
        <c:auto val="1"/>
        <c:lblAlgn val="ctr"/>
        <c:lblOffset val="100"/>
        <c:noMultiLvlLbl val="0"/>
      </c:catAx>
      <c:valAx>
        <c:axId val="366852328"/>
        <c:scaling>
          <c:orientation val="minMax"/>
        </c:scaling>
        <c:delete val="0"/>
        <c:axPos val="b"/>
        <c:majorGridlines/>
        <c:numFmt formatCode="General" sourceLinked="1"/>
        <c:majorTickMark val="none"/>
        <c:minorTickMark val="none"/>
        <c:tickLblPos val="nextTo"/>
        <c:crossAx val="36685193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56815335</c:v>
                </c:pt>
                <c:pt idx="1">
                  <c:v>11186626</c:v>
                </c:pt>
                <c:pt idx="2">
                  <c:v>2503716</c:v>
                </c:pt>
                <c:pt idx="3">
                  <c:v>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366852720"/>
        <c:axId val="366853504"/>
      </c:barChart>
      <c:catAx>
        <c:axId val="36685272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366853504"/>
        <c:crosses val="autoZero"/>
        <c:auto val="1"/>
        <c:lblAlgn val="ctr"/>
        <c:lblOffset val="100"/>
        <c:noMultiLvlLbl val="0"/>
      </c:catAx>
      <c:valAx>
        <c:axId val="366853504"/>
        <c:scaling>
          <c:orientation val="minMax"/>
        </c:scaling>
        <c:delete val="1"/>
        <c:axPos val="l"/>
        <c:majorGridlines/>
        <c:numFmt formatCode="#,##0" sourceLinked="1"/>
        <c:majorTickMark val="out"/>
        <c:minorTickMark val="none"/>
        <c:tickLblPos val="nextTo"/>
        <c:crossAx val="36685272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2019.-%20PLANTILLA%20LABO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ÓN DE INGRESOS"/>
      <sheetName val="PRESUP.EGRESOS FUENTE FINANCIAM"/>
      <sheetName val="PROYECCIONES INGRESOS"/>
      <sheetName val="PROYECCIONES EGRESOS"/>
      <sheetName val="CLASIFIC.ADMINISTRATIVA"/>
      <sheetName val="CLASIFIC.FUNCIONAL DEL GASTO"/>
      <sheetName val="ESTUDIOS ACTUARIALES"/>
      <sheetName val="PLANTILLA  "/>
      <sheetName val=" CAT. FUNCION, SUB FUNCION"/>
    </sheetNames>
    <sheetDataSet>
      <sheetData sheetId="0">
        <row r="2">
          <cell r="A2" t="str">
            <v>Nombre del Municipio: Cabo Corrientes</v>
          </cell>
          <cell r="B2">
            <v>0</v>
          </cell>
          <cell r="C2">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5"/>
  <sheetViews>
    <sheetView topLeftCell="A88" zoomScale="85" zoomScaleNormal="85" workbookViewId="0">
      <selection activeCell="C94" sqref="C94"/>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25" t="s">
        <v>902</v>
      </c>
      <c r="B1" s="426"/>
      <c r="C1" s="426"/>
    </row>
    <row r="2" spans="1:4" s="68" customFormat="1" ht="28.5" customHeight="1">
      <c r="A2" s="427" t="s">
        <v>1140</v>
      </c>
      <c r="B2" s="428"/>
      <c r="C2" s="429"/>
      <c r="D2" s="126"/>
    </row>
    <row r="3" spans="1:4" s="73" customFormat="1" ht="22.5" customHeight="1">
      <c r="A3" s="430" t="s">
        <v>104</v>
      </c>
      <c r="B3" s="432" t="s">
        <v>3</v>
      </c>
      <c r="C3" s="434" t="s">
        <v>105</v>
      </c>
      <c r="D3" s="127"/>
    </row>
    <row r="4" spans="1:4" s="73" customFormat="1" ht="15" customHeight="1">
      <c r="A4" s="431"/>
      <c r="B4" s="433"/>
      <c r="C4" s="435"/>
      <c r="D4" s="127"/>
    </row>
    <row r="5" spans="1:4" s="73" customFormat="1" ht="3.75" customHeight="1">
      <c r="A5" s="214"/>
      <c r="B5" s="215"/>
      <c r="C5" s="216"/>
      <c r="D5" s="127"/>
    </row>
    <row r="6" spans="1:4" s="74" customFormat="1" ht="25.5" customHeight="1">
      <c r="A6" s="217">
        <v>1</v>
      </c>
      <c r="B6" s="218" t="s">
        <v>7</v>
      </c>
      <c r="C6" s="269">
        <f>SUM(C7+C9+C13+C14+C15+C16+C17+C23+C24)</f>
        <v>3914000</v>
      </c>
      <c r="D6" s="128"/>
    </row>
    <row r="7" spans="1:4" s="187" customFormat="1" ht="25.5" customHeight="1">
      <c r="A7" s="317">
        <v>1.1000000000000001</v>
      </c>
      <c r="B7" s="318" t="s">
        <v>106</v>
      </c>
      <c r="C7" s="319">
        <f>SUM(C8)</f>
        <v>11000</v>
      </c>
      <c r="D7" s="186"/>
    </row>
    <row r="8" spans="1:4" s="205" customFormat="1" ht="25.5" customHeight="1">
      <c r="A8" s="262" t="s">
        <v>921</v>
      </c>
      <c r="B8" s="263" t="s">
        <v>922</v>
      </c>
      <c r="C8" s="272">
        <v>11000</v>
      </c>
      <c r="D8" s="204"/>
    </row>
    <row r="9" spans="1:4" s="189" customFormat="1" ht="25.5" customHeight="1">
      <c r="A9" s="317">
        <v>1.2</v>
      </c>
      <c r="B9" s="318" t="s">
        <v>107</v>
      </c>
      <c r="C9" s="319">
        <f>SUM(C10:C12)</f>
        <v>3575000</v>
      </c>
      <c r="D9" s="188"/>
    </row>
    <row r="10" spans="1:4" s="205" customFormat="1" ht="25.5" customHeight="1">
      <c r="A10" s="262" t="s">
        <v>923</v>
      </c>
      <c r="B10" s="263" t="s">
        <v>924</v>
      </c>
      <c r="C10" s="272">
        <v>2465000</v>
      </c>
      <c r="D10" s="204"/>
    </row>
    <row r="11" spans="1:4" s="205" customFormat="1" ht="25.5" customHeight="1">
      <c r="A11" s="262" t="s">
        <v>925</v>
      </c>
      <c r="B11" s="263" t="s">
        <v>926</v>
      </c>
      <c r="C11" s="272">
        <v>1100000</v>
      </c>
      <c r="D11" s="204"/>
    </row>
    <row r="12" spans="1:4" s="205" customFormat="1" ht="25.5" customHeight="1">
      <c r="A12" s="262" t="s">
        <v>927</v>
      </c>
      <c r="B12" s="263" t="s">
        <v>928</v>
      </c>
      <c r="C12" s="272">
        <v>10000</v>
      </c>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328000</v>
      </c>
      <c r="D17" s="188"/>
    </row>
    <row r="18" spans="1:4" s="205" customFormat="1" ht="25.5" customHeight="1">
      <c r="A18" s="262" t="s">
        <v>929</v>
      </c>
      <c r="B18" s="263" t="s">
        <v>930</v>
      </c>
      <c r="C18" s="272">
        <v>325000</v>
      </c>
      <c r="D18" s="204"/>
    </row>
    <row r="19" spans="1:4" s="205" customFormat="1" ht="25.5" customHeight="1">
      <c r="A19" s="262" t="s">
        <v>931</v>
      </c>
      <c r="B19" s="264" t="s">
        <v>932</v>
      </c>
      <c r="C19" s="272">
        <v>3000</v>
      </c>
      <c r="D19" s="204"/>
    </row>
    <row r="20" spans="1:4" s="205" customFormat="1" ht="25.5" customHeight="1">
      <c r="A20" s="262" t="s">
        <v>933</v>
      </c>
      <c r="B20" s="263" t="s">
        <v>934</v>
      </c>
      <c r="C20" s="272">
        <v>0</v>
      </c>
      <c r="D20" s="204"/>
    </row>
    <row r="21" spans="1:4" s="205" customFormat="1" ht="25.5" customHeight="1">
      <c r="A21" s="262" t="s">
        <v>935</v>
      </c>
      <c r="B21" s="263" t="s">
        <v>936</v>
      </c>
      <c r="C21" s="272">
        <v>0</v>
      </c>
      <c r="D21" s="204"/>
    </row>
    <row r="22" spans="1:4" s="205" customFormat="1" ht="25.5" customHeight="1">
      <c r="A22" s="262" t="s">
        <v>937</v>
      </c>
      <c r="B22" s="263" t="s">
        <v>938</v>
      </c>
      <c r="C22" s="272">
        <v>0</v>
      </c>
      <c r="D22" s="204"/>
    </row>
    <row r="23" spans="1:4" s="187" customFormat="1" ht="25.5" customHeight="1">
      <c r="A23" s="317">
        <v>1.8</v>
      </c>
      <c r="B23" s="318" t="s">
        <v>113</v>
      </c>
      <c r="C23" s="320"/>
      <c r="D23" s="186"/>
    </row>
    <row r="24" spans="1:4" s="187" customFormat="1" ht="25.5" customHeight="1">
      <c r="A24" s="317">
        <v>1.9</v>
      </c>
      <c r="B24" s="322" t="s">
        <v>907</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939</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908</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1003</v>
      </c>
      <c r="C33" s="320"/>
      <c r="D33" s="192"/>
    </row>
    <row r="34" spans="1:4" s="138" customFormat="1" ht="25.5" customHeight="1">
      <c r="A34" s="217">
        <v>4</v>
      </c>
      <c r="B34" s="221" t="s">
        <v>118</v>
      </c>
      <c r="C34" s="270">
        <f>SUM(C35+C41+C56+C57+C62)</f>
        <v>2933410</v>
      </c>
      <c r="D34" s="137"/>
    </row>
    <row r="35" spans="1:4" s="195" customFormat="1" ht="33.6" customHeight="1">
      <c r="A35" s="317">
        <v>4.0999999999999996</v>
      </c>
      <c r="B35" s="78" t="s">
        <v>119</v>
      </c>
      <c r="C35" s="319">
        <f>SUM(C36:C39)</f>
        <v>162000</v>
      </c>
      <c r="D35" s="194"/>
    </row>
    <row r="36" spans="1:4" s="207" customFormat="1" ht="25.5" customHeight="1">
      <c r="A36" s="262" t="s">
        <v>940</v>
      </c>
      <c r="B36" s="263" t="s">
        <v>941</v>
      </c>
      <c r="C36" s="272">
        <v>152000</v>
      </c>
      <c r="D36" s="206"/>
    </row>
    <row r="37" spans="1:4" s="207" customFormat="1" ht="25.5" customHeight="1">
      <c r="A37" s="262" t="s">
        <v>1136</v>
      </c>
      <c r="B37" s="263" t="s">
        <v>1138</v>
      </c>
      <c r="C37" s="272">
        <v>0</v>
      </c>
      <c r="D37" s="206"/>
    </row>
    <row r="38" spans="1:4" s="207" customFormat="1" ht="25.5" customHeight="1">
      <c r="A38" s="262" t="s">
        <v>1137</v>
      </c>
      <c r="B38" s="263" t="s">
        <v>1139</v>
      </c>
      <c r="C38" s="272">
        <v>10000</v>
      </c>
      <c r="D38" s="206"/>
    </row>
    <row r="39" spans="1:4" s="207" customFormat="1" ht="26.45" customHeight="1">
      <c r="A39" s="262" t="s">
        <v>942</v>
      </c>
      <c r="B39" s="263" t="s">
        <v>943</v>
      </c>
      <c r="C39" s="272">
        <v>0</v>
      </c>
      <c r="D39" s="206"/>
    </row>
    <row r="40" spans="1:4" s="197" customFormat="1" ht="25.5" customHeight="1">
      <c r="A40" s="317">
        <v>4.2</v>
      </c>
      <c r="B40" s="318" t="s">
        <v>909</v>
      </c>
      <c r="C40" s="271"/>
      <c r="D40" s="196"/>
    </row>
    <row r="41" spans="1:4" s="201" customFormat="1" ht="25.5" customHeight="1">
      <c r="A41" s="325">
        <v>4.3</v>
      </c>
      <c r="B41" s="326" t="s">
        <v>121</v>
      </c>
      <c r="C41" s="327">
        <f>SUM(C42:C55)</f>
        <v>2636710</v>
      </c>
      <c r="D41" s="200"/>
    </row>
    <row r="42" spans="1:4" s="199" customFormat="1" ht="16.149999999999999" customHeight="1">
      <c r="A42" s="265" t="s">
        <v>944</v>
      </c>
      <c r="B42" s="266" t="s">
        <v>945</v>
      </c>
      <c r="C42" s="277">
        <v>995000</v>
      </c>
      <c r="D42" s="198"/>
    </row>
    <row r="43" spans="1:4" s="79" customFormat="1" ht="19.149999999999999" customHeight="1">
      <c r="A43" s="262" t="s">
        <v>946</v>
      </c>
      <c r="B43" s="263" t="s">
        <v>947</v>
      </c>
      <c r="C43" s="272">
        <v>10500</v>
      </c>
      <c r="D43" s="133"/>
    </row>
    <row r="44" spans="1:4" s="75" customFormat="1" ht="16.899999999999999" customHeight="1">
      <c r="A44" s="262" t="s">
        <v>948</v>
      </c>
      <c r="B44" s="263" t="s">
        <v>949</v>
      </c>
      <c r="C44" s="272">
        <v>300000</v>
      </c>
      <c r="D44" s="129"/>
    </row>
    <row r="45" spans="1:4" s="185" customFormat="1" ht="18.600000000000001" customHeight="1">
      <c r="A45" s="262" t="s">
        <v>950</v>
      </c>
      <c r="B45" s="263" t="s">
        <v>951</v>
      </c>
      <c r="C45" s="272">
        <v>4000</v>
      </c>
      <c r="D45" s="184"/>
    </row>
    <row r="46" spans="1:4" s="79" customFormat="1" ht="18" customHeight="1">
      <c r="A46" s="262" t="s">
        <v>952</v>
      </c>
      <c r="B46" s="263" t="s">
        <v>953</v>
      </c>
      <c r="C46" s="272">
        <v>50000</v>
      </c>
      <c r="D46" s="133"/>
    </row>
    <row r="47" spans="1:4" s="79" customFormat="1" ht="21.6" customHeight="1">
      <c r="A47" s="262" t="s">
        <v>954</v>
      </c>
      <c r="B47" s="263" t="s">
        <v>955</v>
      </c>
      <c r="C47" s="272">
        <v>0</v>
      </c>
      <c r="D47" s="133"/>
    </row>
    <row r="48" spans="1:4" s="79" customFormat="1" ht="21.6" customHeight="1">
      <c r="A48" s="262" t="s">
        <v>956</v>
      </c>
      <c r="B48" s="263" t="s">
        <v>957</v>
      </c>
      <c r="C48" s="272">
        <v>0</v>
      </c>
      <c r="D48" s="133"/>
    </row>
    <row r="49" spans="1:4" s="79" customFormat="1" ht="20.45" customHeight="1">
      <c r="A49" s="262" t="s">
        <v>958</v>
      </c>
      <c r="B49" s="263" t="s">
        <v>959</v>
      </c>
      <c r="C49" s="272">
        <v>0</v>
      </c>
      <c r="D49" s="133"/>
    </row>
    <row r="50" spans="1:4" s="79" customFormat="1" ht="21.6" customHeight="1">
      <c r="A50" s="262" t="s">
        <v>960</v>
      </c>
      <c r="B50" s="263" t="s">
        <v>961</v>
      </c>
      <c r="C50" s="272">
        <v>139000</v>
      </c>
      <c r="D50" s="133"/>
    </row>
    <row r="51" spans="1:4" s="79" customFormat="1" ht="28.5" customHeight="1">
      <c r="A51" s="262" t="s">
        <v>962</v>
      </c>
      <c r="B51" s="263" t="s">
        <v>1132</v>
      </c>
      <c r="C51" s="272">
        <v>510000</v>
      </c>
      <c r="D51" s="133"/>
    </row>
    <row r="52" spans="1:4" s="79" customFormat="1" ht="17.45" customHeight="1">
      <c r="A52" s="262" t="s">
        <v>963</v>
      </c>
      <c r="B52" s="263" t="s">
        <v>964</v>
      </c>
      <c r="C52" s="272">
        <v>20000</v>
      </c>
      <c r="D52" s="133"/>
    </row>
    <row r="53" spans="1:4" s="79" customFormat="1" ht="19.149999999999999" customHeight="1">
      <c r="A53" s="262" t="s">
        <v>965</v>
      </c>
      <c r="B53" s="263" t="s">
        <v>966</v>
      </c>
      <c r="C53" s="272">
        <v>271000</v>
      </c>
      <c r="D53" s="133"/>
    </row>
    <row r="54" spans="1:4" s="79" customFormat="1" ht="16.149999999999999" customHeight="1">
      <c r="A54" s="262" t="s">
        <v>967</v>
      </c>
      <c r="B54" s="263" t="s">
        <v>968</v>
      </c>
      <c r="C54" s="272">
        <v>8210</v>
      </c>
      <c r="D54" s="133"/>
    </row>
    <row r="55" spans="1:4" s="75" customFormat="1" ht="21.6" customHeight="1">
      <c r="A55" s="262" t="s">
        <v>969</v>
      </c>
      <c r="B55" s="263" t="s">
        <v>970</v>
      </c>
      <c r="C55" s="272">
        <v>329000</v>
      </c>
      <c r="D55" s="129"/>
    </row>
    <row r="56" spans="1:4" s="187" customFormat="1" ht="26.45" customHeight="1">
      <c r="A56" s="317">
        <v>4.4000000000000004</v>
      </c>
      <c r="B56" s="78" t="s">
        <v>122</v>
      </c>
      <c r="C56" s="320"/>
      <c r="D56" s="186"/>
    </row>
    <row r="57" spans="1:4" s="79" customFormat="1" ht="24" customHeight="1">
      <c r="A57" s="317">
        <v>4.5</v>
      </c>
      <c r="B57" s="318" t="s">
        <v>1004</v>
      </c>
      <c r="C57" s="319">
        <f>SUM(C58:C61)</f>
        <v>134700</v>
      </c>
      <c r="D57" s="133"/>
    </row>
    <row r="58" spans="1:4" s="79" customFormat="1" ht="21" customHeight="1">
      <c r="A58" s="262" t="s">
        <v>971</v>
      </c>
      <c r="B58" s="263" t="s">
        <v>930</v>
      </c>
      <c r="C58" s="272">
        <v>40000</v>
      </c>
      <c r="D58" s="133"/>
    </row>
    <row r="59" spans="1:4" s="79" customFormat="1" ht="20.45" customHeight="1">
      <c r="A59" s="262" t="s">
        <v>972</v>
      </c>
      <c r="B59" s="263" t="s">
        <v>932</v>
      </c>
      <c r="C59" s="272">
        <v>93000</v>
      </c>
      <c r="D59" s="133"/>
    </row>
    <row r="60" spans="1:4" s="79" customFormat="1" ht="19.899999999999999" customHeight="1">
      <c r="A60" s="262" t="s">
        <v>973</v>
      </c>
      <c r="B60" s="263" t="s">
        <v>934</v>
      </c>
      <c r="C60" s="272">
        <v>0</v>
      </c>
      <c r="D60" s="133"/>
    </row>
    <row r="61" spans="1:4" s="79" customFormat="1" ht="19.149999999999999" customHeight="1">
      <c r="A61" s="262" t="s">
        <v>974</v>
      </c>
      <c r="B61" s="263" t="s">
        <v>936</v>
      </c>
      <c r="C61" s="272">
        <v>1700</v>
      </c>
      <c r="D61" s="133"/>
    </row>
    <row r="62" spans="1:4" s="79" customFormat="1" ht="30.6" customHeight="1">
      <c r="A62" s="317">
        <v>4.9000000000000004</v>
      </c>
      <c r="B62" s="318" t="s">
        <v>910</v>
      </c>
      <c r="C62" s="320"/>
      <c r="D62" s="133"/>
    </row>
    <row r="63" spans="1:4" s="79" customFormat="1" ht="26.45" customHeight="1">
      <c r="A63" s="217">
        <v>5</v>
      </c>
      <c r="B63" s="219" t="s">
        <v>19</v>
      </c>
      <c r="C63" s="270">
        <f>SUM(C64+C69)</f>
        <v>189000</v>
      </c>
      <c r="D63" s="133"/>
    </row>
    <row r="64" spans="1:4" s="195" customFormat="1" ht="25.9" customHeight="1">
      <c r="A64" s="317">
        <v>5.0999999999999996</v>
      </c>
      <c r="B64" s="78" t="s">
        <v>19</v>
      </c>
      <c r="C64" s="319">
        <f>SUM(C65:C67)</f>
        <v>189000</v>
      </c>
      <c r="D64" s="194"/>
    </row>
    <row r="65" spans="1:4" s="79" customFormat="1" ht="24.6" customHeight="1">
      <c r="A65" s="262" t="s">
        <v>975</v>
      </c>
      <c r="B65" s="263" t="s">
        <v>976</v>
      </c>
      <c r="C65" s="272">
        <v>0</v>
      </c>
      <c r="D65" s="133"/>
    </row>
    <row r="66" spans="1:4" s="79" customFormat="1" ht="18.600000000000001" customHeight="1">
      <c r="A66" s="262" t="s">
        <v>977</v>
      </c>
      <c r="B66" s="263" t="s">
        <v>978</v>
      </c>
      <c r="C66" s="272">
        <v>0</v>
      </c>
      <c r="D66" s="133"/>
    </row>
    <row r="67" spans="1:4" s="79" customFormat="1" ht="21" customHeight="1">
      <c r="A67" s="262" t="s">
        <v>979</v>
      </c>
      <c r="B67" s="263" t="s">
        <v>980</v>
      </c>
      <c r="C67" s="272">
        <v>189000</v>
      </c>
      <c r="D67" s="133"/>
    </row>
    <row r="68" spans="1:4" s="195" customFormat="1" ht="23.45" customHeight="1">
      <c r="A68" s="317">
        <v>5.2</v>
      </c>
      <c r="B68" s="78" t="s">
        <v>911</v>
      </c>
      <c r="C68" s="271"/>
      <c r="D68" s="194"/>
    </row>
    <row r="69" spans="1:4" s="195" customFormat="1" ht="37.9" customHeight="1">
      <c r="A69" s="317">
        <v>5.9</v>
      </c>
      <c r="B69" s="78" t="s">
        <v>1012</v>
      </c>
      <c r="C69" s="320"/>
      <c r="D69" s="194"/>
    </row>
    <row r="70" spans="1:4" s="79" customFormat="1" ht="29.45" customHeight="1">
      <c r="A70" s="217">
        <v>6</v>
      </c>
      <c r="B70" s="219" t="s">
        <v>20</v>
      </c>
      <c r="C70" s="270">
        <f>SUM(C71+C79+C80+C81)</f>
        <v>0</v>
      </c>
      <c r="D70" s="133"/>
    </row>
    <row r="71" spans="1:4" s="195" customFormat="1" ht="18.600000000000001" customHeight="1">
      <c r="A71" s="317">
        <v>6.1</v>
      </c>
      <c r="B71" s="78" t="s">
        <v>912</v>
      </c>
      <c r="C71" s="319">
        <f>SUM(C72:C78)</f>
        <v>0</v>
      </c>
      <c r="D71" s="194"/>
    </row>
    <row r="72" spans="1:4" s="79" customFormat="1" ht="20.25" customHeight="1">
      <c r="A72" s="262" t="s">
        <v>981</v>
      </c>
      <c r="B72" s="263" t="s">
        <v>982</v>
      </c>
      <c r="C72" s="272"/>
      <c r="D72" s="133"/>
    </row>
    <row r="73" spans="1:4" s="79" customFormat="1" ht="19.899999999999999" customHeight="1">
      <c r="A73" s="262" t="s">
        <v>983</v>
      </c>
      <c r="B73" s="263" t="s">
        <v>932</v>
      </c>
      <c r="C73" s="272"/>
      <c r="D73" s="133"/>
    </row>
    <row r="74" spans="1:4" s="79" customFormat="1" ht="22.15" customHeight="1">
      <c r="A74" s="262" t="s">
        <v>984</v>
      </c>
      <c r="B74" s="263" t="s">
        <v>123</v>
      </c>
      <c r="C74" s="272"/>
      <c r="D74" s="133"/>
    </row>
    <row r="75" spans="1:4" s="79" customFormat="1" ht="19.899999999999999" customHeight="1">
      <c r="A75" s="262" t="s">
        <v>985</v>
      </c>
      <c r="B75" s="263" t="s">
        <v>986</v>
      </c>
      <c r="C75" s="272"/>
      <c r="D75" s="133"/>
    </row>
    <row r="76" spans="1:4" s="79" customFormat="1" ht="22.15" customHeight="1">
      <c r="A76" s="262" t="s">
        <v>987</v>
      </c>
      <c r="B76" s="263" t="s">
        <v>988</v>
      </c>
      <c r="C76" s="272"/>
      <c r="D76" s="133"/>
    </row>
    <row r="77" spans="1:4" s="79" customFormat="1" ht="22.15" customHeight="1">
      <c r="A77" s="262" t="s">
        <v>989</v>
      </c>
      <c r="B77" s="263" t="s">
        <v>990</v>
      </c>
      <c r="C77" s="272"/>
      <c r="D77" s="133"/>
    </row>
    <row r="78" spans="1:4" s="79" customFormat="1" ht="23.45" customHeight="1">
      <c r="A78" s="262" t="s">
        <v>991</v>
      </c>
      <c r="B78" s="263" t="s">
        <v>992</v>
      </c>
      <c r="C78" s="272"/>
      <c r="D78" s="133"/>
    </row>
    <row r="79" spans="1:4" s="195" customFormat="1" ht="21" customHeight="1">
      <c r="A79" s="317">
        <v>6.2</v>
      </c>
      <c r="B79" s="78" t="s">
        <v>993</v>
      </c>
      <c r="C79" s="320"/>
      <c r="D79" s="194"/>
    </row>
    <row r="80" spans="1:4" s="195" customFormat="1" ht="24.6" customHeight="1">
      <c r="A80" s="317">
        <v>6.3</v>
      </c>
      <c r="B80" s="328" t="s">
        <v>994</v>
      </c>
      <c r="C80" s="323"/>
      <c r="D80" s="194"/>
    </row>
    <row r="81" spans="1:4" s="195" customFormat="1" ht="24.6" customHeight="1">
      <c r="A81" s="317">
        <v>6.9</v>
      </c>
      <c r="B81" s="328" t="s">
        <v>1013</v>
      </c>
      <c r="C81" s="323"/>
      <c r="D81" s="194"/>
    </row>
    <row r="82" spans="1:4" s="80" customFormat="1" ht="25.5" customHeight="1">
      <c r="A82" s="217">
        <v>7</v>
      </c>
      <c r="B82" s="219" t="s">
        <v>913</v>
      </c>
      <c r="C82" s="270">
        <f>SUM(C83:C91)</f>
        <v>0</v>
      </c>
      <c r="D82" s="134"/>
    </row>
    <row r="83" spans="1:4" s="80" customFormat="1" ht="36.75" customHeight="1">
      <c r="A83" s="317">
        <v>7.1</v>
      </c>
      <c r="B83" s="329" t="s">
        <v>1090</v>
      </c>
      <c r="C83" s="323"/>
      <c r="D83" s="134"/>
    </row>
    <row r="84" spans="1:4" s="80" customFormat="1" ht="36.75" customHeight="1">
      <c r="A84" s="317">
        <v>7.2</v>
      </c>
      <c r="B84" s="329" t="s">
        <v>914</v>
      </c>
      <c r="C84" s="323"/>
      <c r="D84" s="134"/>
    </row>
    <row r="85" spans="1:4" s="80" customFormat="1" ht="36.75" customHeight="1">
      <c r="A85" s="317">
        <v>7.3</v>
      </c>
      <c r="B85" s="329" t="s">
        <v>915</v>
      </c>
      <c r="C85" s="323"/>
      <c r="D85" s="134"/>
    </row>
    <row r="86" spans="1:4" s="80" customFormat="1" ht="47.45" customHeight="1">
      <c r="A86" s="317">
        <v>7.4</v>
      </c>
      <c r="B86" s="329" t="s">
        <v>916</v>
      </c>
      <c r="C86" s="323"/>
      <c r="D86" s="134"/>
    </row>
    <row r="87" spans="1:4" s="80" customFormat="1" ht="50.45" customHeight="1">
      <c r="A87" s="317">
        <v>7.5</v>
      </c>
      <c r="B87" s="329" t="s">
        <v>917</v>
      </c>
      <c r="C87" s="323"/>
      <c r="D87" s="134"/>
    </row>
    <row r="88" spans="1:4" s="80" customFormat="1" ht="49.9" customHeight="1">
      <c r="A88" s="317">
        <v>7.6</v>
      </c>
      <c r="B88" s="329" t="s">
        <v>918</v>
      </c>
      <c r="C88" s="323"/>
      <c r="D88" s="134"/>
    </row>
    <row r="89" spans="1:4" s="80" customFormat="1" ht="43.9" customHeight="1">
      <c r="A89" s="317">
        <v>7.7</v>
      </c>
      <c r="B89" s="329" t="s">
        <v>919</v>
      </c>
      <c r="C89" s="323"/>
      <c r="D89" s="134"/>
    </row>
    <row r="90" spans="1:4" s="80" customFormat="1" ht="39.6" customHeight="1">
      <c r="A90" s="317">
        <v>7.8</v>
      </c>
      <c r="B90" s="329" t="s">
        <v>920</v>
      </c>
      <c r="C90" s="323"/>
      <c r="D90" s="134"/>
    </row>
    <row r="91" spans="1:4" s="80" customFormat="1" ht="33.6" customHeight="1">
      <c r="A91" s="317">
        <v>7.9</v>
      </c>
      <c r="B91" s="329" t="s">
        <v>29</v>
      </c>
      <c r="C91" s="323"/>
      <c r="D91" s="134"/>
    </row>
    <row r="92" spans="1:4" s="79" customFormat="1" ht="37.9" customHeight="1">
      <c r="A92" s="217">
        <v>8</v>
      </c>
      <c r="B92" s="222" t="s">
        <v>1131</v>
      </c>
      <c r="C92" s="270">
        <f>SUM(C93+C96+C101+C102+C103)</f>
        <v>63469267</v>
      </c>
      <c r="D92" s="133"/>
    </row>
    <row r="93" spans="1:4" s="195" customFormat="1" ht="25.5" customHeight="1">
      <c r="A93" s="317">
        <v>8.1</v>
      </c>
      <c r="B93" s="78" t="s">
        <v>124</v>
      </c>
      <c r="C93" s="319">
        <f>SUM(C94:C95)</f>
        <v>47120013</v>
      </c>
      <c r="D93" s="194"/>
    </row>
    <row r="94" spans="1:4" s="76" customFormat="1" ht="25.5" customHeight="1">
      <c r="A94" s="262" t="s">
        <v>839</v>
      </c>
      <c r="B94" s="409" t="s">
        <v>125</v>
      </c>
      <c r="C94" s="273">
        <v>46272501</v>
      </c>
      <c r="D94" s="131"/>
    </row>
    <row r="95" spans="1:4" s="76" customFormat="1" ht="25.5" customHeight="1">
      <c r="A95" s="262" t="s">
        <v>995</v>
      </c>
      <c r="B95" s="409" t="s">
        <v>126</v>
      </c>
      <c r="C95" s="273">
        <v>847512</v>
      </c>
      <c r="D95" s="131"/>
    </row>
    <row r="96" spans="1:4" s="195" customFormat="1" ht="25.5" customHeight="1">
      <c r="A96" s="317">
        <v>8.1999999999999993</v>
      </c>
      <c r="B96" s="78" t="s">
        <v>127</v>
      </c>
      <c r="C96" s="319">
        <f>SUM(C97:C100)</f>
        <v>16349254</v>
      </c>
      <c r="D96" s="194"/>
    </row>
    <row r="97" spans="1:4" s="76" customFormat="1" ht="25.5" customHeight="1">
      <c r="A97" s="262" t="s">
        <v>840</v>
      </c>
      <c r="B97" s="409" t="s">
        <v>128</v>
      </c>
      <c r="C97" s="273">
        <v>5962710</v>
      </c>
      <c r="D97" s="131"/>
    </row>
    <row r="98" spans="1:4" s="76" customFormat="1" ht="25.5" customHeight="1">
      <c r="A98" s="262" t="s">
        <v>996</v>
      </c>
      <c r="B98" s="409" t="s">
        <v>129</v>
      </c>
      <c r="C98" s="273"/>
      <c r="D98" s="131"/>
    </row>
    <row r="99" spans="1:4" s="76" customFormat="1" ht="25.5" customHeight="1">
      <c r="A99" s="262" t="s">
        <v>997</v>
      </c>
      <c r="B99" s="409" t="s">
        <v>130</v>
      </c>
      <c r="C99" s="273">
        <v>10386544</v>
      </c>
      <c r="D99" s="131"/>
    </row>
    <row r="100" spans="1:4" s="76" customFormat="1" ht="25.5" customHeight="1">
      <c r="A100" s="262" t="s">
        <v>998</v>
      </c>
      <c r="B100" s="409" t="s">
        <v>131</v>
      </c>
      <c r="C100" s="273"/>
      <c r="D100" s="131"/>
    </row>
    <row r="101" spans="1:4" s="195" customFormat="1" ht="25.5" customHeight="1">
      <c r="A101" s="317">
        <v>8.3000000000000007</v>
      </c>
      <c r="B101" s="78" t="s">
        <v>132</v>
      </c>
      <c r="C101" s="320"/>
      <c r="D101" s="194"/>
    </row>
    <row r="102" spans="1:4" s="195" customFormat="1" ht="25.5" customHeight="1">
      <c r="A102" s="317">
        <v>8.4</v>
      </c>
      <c r="B102" s="78" t="s">
        <v>999</v>
      </c>
      <c r="C102" s="320"/>
      <c r="D102" s="194"/>
    </row>
    <row r="103" spans="1:4" s="195" customFormat="1" ht="25.5" customHeight="1">
      <c r="A103" s="317">
        <v>8.5</v>
      </c>
      <c r="B103" s="78" t="s">
        <v>1000</v>
      </c>
      <c r="C103" s="320"/>
      <c r="D103" s="194"/>
    </row>
    <row r="104" spans="1:4" s="81" customFormat="1" ht="33.6" customHeight="1">
      <c r="A104" s="217">
        <v>9</v>
      </c>
      <c r="B104" s="222" t="s">
        <v>1133</v>
      </c>
      <c r="C104" s="270">
        <f>SUM(C105+C107+C109+C111)</f>
        <v>0</v>
      </c>
      <c r="D104" s="135"/>
    </row>
    <row r="105" spans="1:4" s="203" customFormat="1" ht="23.45" customHeight="1">
      <c r="A105" s="317">
        <v>9.1</v>
      </c>
      <c r="B105" s="78" t="s">
        <v>1134</v>
      </c>
      <c r="C105" s="320"/>
      <c r="D105" s="202"/>
    </row>
    <row r="106" spans="1:4" s="195" customFormat="1" ht="20.45" customHeight="1">
      <c r="A106" s="317">
        <v>9.1999999999999993</v>
      </c>
      <c r="B106" s="322" t="s">
        <v>1005</v>
      </c>
      <c r="C106" s="274"/>
      <c r="D106" s="194"/>
    </row>
    <row r="107" spans="1:4" s="203" customFormat="1" ht="22.9" customHeight="1">
      <c r="A107" s="317">
        <v>9.3000000000000007</v>
      </c>
      <c r="B107" s="78" t="s">
        <v>134</v>
      </c>
      <c r="C107" s="320"/>
      <c r="D107" s="202"/>
    </row>
    <row r="108" spans="1:4" s="203" customFormat="1" ht="21.6" customHeight="1">
      <c r="A108" s="317">
        <v>9.4</v>
      </c>
      <c r="B108" s="328" t="s">
        <v>1006</v>
      </c>
      <c r="C108" s="275"/>
      <c r="D108" s="202"/>
    </row>
    <row r="109" spans="1:4" s="203" customFormat="1" ht="23.45" customHeight="1">
      <c r="A109" s="317">
        <v>9.5</v>
      </c>
      <c r="B109" s="328" t="s">
        <v>136</v>
      </c>
      <c r="C109" s="330"/>
      <c r="D109" s="202"/>
    </row>
    <row r="110" spans="1:4" s="203" customFormat="1" ht="26.45" customHeight="1">
      <c r="A110" s="317">
        <v>9.6</v>
      </c>
      <c r="B110" s="78" t="s">
        <v>1135</v>
      </c>
      <c r="C110" s="271"/>
      <c r="D110" s="202"/>
    </row>
    <row r="111" spans="1:4" s="203" customFormat="1" ht="27" customHeight="1">
      <c r="A111" s="317">
        <v>9.6999999999999993</v>
      </c>
      <c r="B111" s="328" t="s">
        <v>1001</v>
      </c>
      <c r="C111" s="330"/>
      <c r="D111" s="202"/>
    </row>
    <row r="112" spans="1:4" s="81" customFormat="1" ht="20.45" customHeight="1">
      <c r="A112" s="217">
        <v>0</v>
      </c>
      <c r="B112" s="219" t="s">
        <v>25</v>
      </c>
      <c r="C112" s="270">
        <f>SUM(C113+C115)</f>
        <v>0</v>
      </c>
      <c r="D112" s="135"/>
    </row>
    <row r="113" spans="1:4" s="203" customFormat="1" ht="22.15" customHeight="1">
      <c r="A113" s="317">
        <v>0.1</v>
      </c>
      <c r="B113" s="78" t="s">
        <v>137</v>
      </c>
      <c r="C113" s="320"/>
      <c r="D113" s="202"/>
    </row>
    <row r="114" spans="1:4" s="203" customFormat="1" ht="25.15" customHeight="1">
      <c r="A114" s="317">
        <v>0.2</v>
      </c>
      <c r="B114" s="78" t="s">
        <v>138</v>
      </c>
      <c r="C114" s="271"/>
      <c r="D114" s="202"/>
    </row>
    <row r="115" spans="1:4" s="195" customFormat="1" ht="25.9" customHeight="1">
      <c r="A115" s="317">
        <v>0.3</v>
      </c>
      <c r="B115" s="322" t="s">
        <v>1002</v>
      </c>
      <c r="C115" s="323"/>
      <c r="D115" s="194"/>
    </row>
    <row r="116" spans="1:4" s="82" customFormat="1" ht="23.45" customHeight="1">
      <c r="A116" s="423" t="s">
        <v>139</v>
      </c>
      <c r="B116" s="424"/>
      <c r="C116" s="276">
        <f>SUM(C6+C25+C31+C34+C63+C70+C82+C92+C104+C112)</f>
        <v>70505677</v>
      </c>
      <c r="D116" s="136"/>
    </row>
    <row r="117" spans="1:4" s="72" customFormat="1" ht="12.75" customHeight="1">
      <c r="A117" s="69"/>
      <c r="B117" s="70"/>
      <c r="C117" s="71"/>
    </row>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90" zoomScaleNormal="90" zoomScalePageLayoutView="90" workbookViewId="0">
      <pane ySplit="6" topLeftCell="A426" activePane="bottomLeft" state="frozen"/>
      <selection pane="bottomLeft" activeCell="G15" sqref="G15"/>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36" t="s">
        <v>903</v>
      </c>
      <c r="B1" s="437"/>
      <c r="C1" s="437"/>
      <c r="D1" s="437"/>
      <c r="E1" s="437"/>
      <c r="F1" s="437"/>
      <c r="G1" s="437"/>
      <c r="H1" s="437"/>
      <c r="I1" s="437"/>
      <c r="J1" s="437"/>
      <c r="K1" s="437"/>
      <c r="L1" s="437"/>
      <c r="M1" s="437"/>
      <c r="N1" s="438"/>
    </row>
    <row r="2" spans="1:15" customFormat="1" ht="24" customHeight="1">
      <c r="A2" s="439" t="str">
        <f>'ESTIMACIÓN DE INGRESOS'!A2:C2</f>
        <v>Nombre del Municipio: Cabo Corrientes</v>
      </c>
      <c r="B2" s="440"/>
      <c r="C2" s="440"/>
      <c r="D2" s="440"/>
      <c r="E2" s="440"/>
      <c r="F2" s="440"/>
      <c r="G2" s="440"/>
      <c r="H2" s="440"/>
      <c r="I2" s="440"/>
      <c r="J2" s="440"/>
      <c r="K2" s="440"/>
      <c r="L2" s="440"/>
      <c r="M2" s="440"/>
      <c r="N2" s="441"/>
    </row>
    <row r="3" spans="1:15" s="183" customFormat="1" ht="31.15" customHeight="1">
      <c r="A3" s="443" t="s">
        <v>549</v>
      </c>
      <c r="B3" s="445" t="s">
        <v>3</v>
      </c>
      <c r="C3" s="450" t="s">
        <v>1046</v>
      </c>
      <c r="D3" s="451"/>
      <c r="E3" s="451"/>
      <c r="F3" s="451"/>
      <c r="G3" s="451"/>
      <c r="H3" s="451"/>
      <c r="I3" s="452"/>
      <c r="J3" s="447" t="s">
        <v>1047</v>
      </c>
      <c r="K3" s="448"/>
      <c r="L3" s="449"/>
      <c r="M3" s="442" t="s">
        <v>550</v>
      </c>
      <c r="N3" s="182"/>
    </row>
    <row r="4" spans="1:15" s="183" customFormat="1" ht="73.150000000000006" customHeight="1">
      <c r="A4" s="444"/>
      <c r="B4" s="446"/>
      <c r="C4" s="211" t="s">
        <v>1045</v>
      </c>
      <c r="D4" s="211" t="s">
        <v>1051</v>
      </c>
      <c r="E4" s="211" t="s">
        <v>1052</v>
      </c>
      <c r="F4" s="212" t="s">
        <v>1053</v>
      </c>
      <c r="G4" s="212" t="s">
        <v>1054</v>
      </c>
      <c r="H4" s="213" t="s">
        <v>1055</v>
      </c>
      <c r="I4" s="209" t="s">
        <v>1056</v>
      </c>
      <c r="J4" s="209" t="s">
        <v>1048</v>
      </c>
      <c r="K4" s="209" t="s">
        <v>1049</v>
      </c>
      <c r="L4" s="210" t="s">
        <v>1050</v>
      </c>
      <c r="M4" s="442"/>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0</v>
      </c>
      <c r="D6" s="174">
        <f>D7+D12+D17+D26+D31+D38+D40</f>
        <v>0</v>
      </c>
      <c r="E6" s="174">
        <f t="shared" si="0"/>
        <v>0</v>
      </c>
      <c r="F6" s="174">
        <f t="shared" si="0"/>
        <v>0</v>
      </c>
      <c r="G6" s="174">
        <f t="shared" si="0"/>
        <v>29458144</v>
      </c>
      <c r="H6" s="174">
        <f t="shared" si="0"/>
        <v>0</v>
      </c>
      <c r="I6" s="174">
        <f t="shared" si="0"/>
        <v>0</v>
      </c>
      <c r="J6" s="174">
        <f t="shared" si="0"/>
        <v>3065751</v>
      </c>
      <c r="K6" s="174">
        <f t="shared" si="0"/>
        <v>0</v>
      </c>
      <c r="L6" s="174">
        <f t="shared" si="0"/>
        <v>0</v>
      </c>
      <c r="M6" s="174">
        <f>SUM(C6:L6)</f>
        <v>32523895</v>
      </c>
      <c r="N6" s="175">
        <f t="shared" si="0"/>
        <v>0</v>
      </c>
    </row>
    <row r="7" spans="1:15" customFormat="1" ht="25.5" customHeight="1">
      <c r="A7" s="83">
        <v>1100</v>
      </c>
      <c r="B7" s="84" t="s">
        <v>141</v>
      </c>
      <c r="C7" s="278">
        <f>SUM(C8:C11)</f>
        <v>0</v>
      </c>
      <c r="D7" s="278">
        <f>SUM(D8:D11)</f>
        <v>0</v>
      </c>
      <c r="E7" s="278">
        <f t="shared" ref="E7:L7" si="1">SUM(E8:E11)</f>
        <v>0</v>
      </c>
      <c r="F7" s="278">
        <f t="shared" si="1"/>
        <v>0</v>
      </c>
      <c r="G7" s="278">
        <f t="shared" si="1"/>
        <v>21356764</v>
      </c>
      <c r="H7" s="278">
        <f t="shared" si="1"/>
        <v>0</v>
      </c>
      <c r="I7" s="278">
        <f t="shared" si="1"/>
        <v>0</v>
      </c>
      <c r="J7" s="278">
        <f t="shared" si="1"/>
        <v>2416389</v>
      </c>
      <c r="K7" s="278">
        <f t="shared" si="1"/>
        <v>0</v>
      </c>
      <c r="L7" s="278">
        <f t="shared" si="1"/>
        <v>0</v>
      </c>
      <c r="M7" s="278">
        <f t="shared" ref="M7:M70" si="2">SUM(C7:L7)</f>
        <v>23773153</v>
      </c>
      <c r="N7" s="279"/>
      <c r="O7">
        <v>1</v>
      </c>
    </row>
    <row r="8" spans="1:15" customFormat="1" ht="25.5" customHeight="1">
      <c r="A8" s="89">
        <v>111</v>
      </c>
      <c r="B8" s="85" t="s">
        <v>142</v>
      </c>
      <c r="C8" s="280"/>
      <c r="D8" s="280"/>
      <c r="E8" s="280"/>
      <c r="F8" s="280"/>
      <c r="G8" s="280">
        <v>3717125</v>
      </c>
      <c r="H8" s="280"/>
      <c r="I8" s="280"/>
      <c r="J8" s="280"/>
      <c r="K8" s="280"/>
      <c r="L8" s="280"/>
      <c r="M8" s="281">
        <f t="shared" si="2"/>
        <v>3717125</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c r="D10" s="280"/>
      <c r="E10" s="280"/>
      <c r="F10" s="280"/>
      <c r="G10" s="280">
        <v>17639639</v>
      </c>
      <c r="H10" s="280"/>
      <c r="I10" s="280"/>
      <c r="J10" s="280">
        <v>2416389</v>
      </c>
      <c r="K10" s="280"/>
      <c r="L10" s="280"/>
      <c r="M10" s="281">
        <f t="shared" si="2"/>
        <v>20056028</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0</v>
      </c>
      <c r="D12" s="278">
        <f>SUM(D13:D16)</f>
        <v>0</v>
      </c>
      <c r="E12" s="278">
        <f t="shared" si="3"/>
        <v>0</v>
      </c>
      <c r="F12" s="278">
        <f t="shared" si="3"/>
        <v>0</v>
      </c>
      <c r="G12" s="278">
        <f t="shared" si="3"/>
        <v>1552000</v>
      </c>
      <c r="H12" s="278">
        <f t="shared" si="3"/>
        <v>0</v>
      </c>
      <c r="I12" s="278">
        <f t="shared" si="3"/>
        <v>0</v>
      </c>
      <c r="J12" s="278">
        <f t="shared" si="3"/>
        <v>41117</v>
      </c>
      <c r="K12" s="278">
        <f t="shared" si="3"/>
        <v>0</v>
      </c>
      <c r="L12" s="278">
        <f t="shared" si="3"/>
        <v>0</v>
      </c>
      <c r="M12" s="278">
        <f t="shared" si="2"/>
        <v>1593117</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c r="D14" s="280"/>
      <c r="E14" s="280"/>
      <c r="F14" s="280"/>
      <c r="G14" s="280">
        <v>1552000</v>
      </c>
      <c r="H14" s="280"/>
      <c r="I14" s="280"/>
      <c r="J14" s="280">
        <v>41117</v>
      </c>
      <c r="K14" s="280"/>
      <c r="L14" s="280"/>
      <c r="M14" s="281">
        <f t="shared" si="2"/>
        <v>1593117</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0</v>
      </c>
      <c r="D17" s="278">
        <f>SUM(D18:D25)</f>
        <v>0</v>
      </c>
      <c r="E17" s="278">
        <f t="shared" ref="E17:N17" si="4">SUM(E18:E25)</f>
        <v>0</v>
      </c>
      <c r="F17" s="278">
        <f t="shared" si="4"/>
        <v>0</v>
      </c>
      <c r="G17" s="278">
        <f t="shared" si="4"/>
        <v>2979966</v>
      </c>
      <c r="H17" s="278">
        <f t="shared" si="4"/>
        <v>0</v>
      </c>
      <c r="I17" s="278">
        <f t="shared" si="4"/>
        <v>0</v>
      </c>
      <c r="J17" s="278">
        <f t="shared" si="4"/>
        <v>406645</v>
      </c>
      <c r="K17" s="278">
        <f t="shared" si="4"/>
        <v>0</v>
      </c>
      <c r="L17" s="278">
        <f t="shared" si="4"/>
        <v>0</v>
      </c>
      <c r="M17" s="278">
        <f t="shared" si="2"/>
        <v>3386611</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c r="D19" s="280"/>
      <c r="E19" s="280"/>
      <c r="F19" s="280"/>
      <c r="G19" s="280">
        <v>2798966</v>
      </c>
      <c r="H19" s="280"/>
      <c r="I19" s="280"/>
      <c r="J19" s="280">
        <v>336645</v>
      </c>
      <c r="K19" s="280"/>
      <c r="L19" s="280"/>
      <c r="M19" s="281">
        <f t="shared" si="2"/>
        <v>3135611</v>
      </c>
      <c r="N19" s="279"/>
      <c r="O19" s="25" t="s">
        <v>154</v>
      </c>
    </row>
    <row r="20" spans="1:15" customFormat="1" ht="25.5" customHeight="1">
      <c r="A20" s="89">
        <v>133</v>
      </c>
      <c r="B20" s="86" t="s">
        <v>155</v>
      </c>
      <c r="C20" s="280"/>
      <c r="D20" s="280"/>
      <c r="E20" s="280"/>
      <c r="F20" s="280"/>
      <c r="G20" s="280">
        <v>181000</v>
      </c>
      <c r="H20" s="280"/>
      <c r="I20" s="280"/>
      <c r="J20" s="280">
        <v>70000</v>
      </c>
      <c r="K20" s="280"/>
      <c r="L20" s="280"/>
      <c r="M20" s="281">
        <f t="shared" si="2"/>
        <v>251000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0</v>
      </c>
      <c r="N26" s="284">
        <f t="shared" si="5"/>
        <v>0</v>
      </c>
      <c r="O26">
        <v>213</v>
      </c>
    </row>
    <row r="27" spans="1:15" customFormat="1" ht="25.5" customHeight="1">
      <c r="A27" s="89">
        <v>141</v>
      </c>
      <c r="B27" s="86" t="s">
        <v>162</v>
      </c>
      <c r="C27" s="280"/>
      <c r="D27" s="280"/>
      <c r="E27" s="280"/>
      <c r="F27" s="280"/>
      <c r="G27" s="280"/>
      <c r="H27" s="280"/>
      <c r="I27" s="280"/>
      <c r="J27" s="280"/>
      <c r="K27" s="280"/>
      <c r="L27" s="280"/>
      <c r="M27" s="281">
        <f t="shared" si="2"/>
        <v>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c r="D29" s="280"/>
      <c r="E29" s="280"/>
      <c r="F29" s="280"/>
      <c r="G29" s="280"/>
      <c r="H29" s="280"/>
      <c r="I29" s="280"/>
      <c r="J29" s="280"/>
      <c r="K29" s="280"/>
      <c r="L29" s="280"/>
      <c r="M29" s="281">
        <f t="shared" si="2"/>
        <v>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0</v>
      </c>
      <c r="D31" s="278">
        <f>SUM(D32:D37)</f>
        <v>0</v>
      </c>
      <c r="E31" s="278">
        <f t="shared" si="6"/>
        <v>0</v>
      </c>
      <c r="F31" s="278">
        <f t="shared" si="6"/>
        <v>0</v>
      </c>
      <c r="G31" s="278">
        <f t="shared" si="6"/>
        <v>1450000</v>
      </c>
      <c r="H31" s="278">
        <f t="shared" si="6"/>
        <v>0</v>
      </c>
      <c r="I31" s="278">
        <f t="shared" si="6"/>
        <v>0</v>
      </c>
      <c r="J31" s="278">
        <f t="shared" si="6"/>
        <v>201600</v>
      </c>
      <c r="K31" s="278">
        <f t="shared" si="6"/>
        <v>0</v>
      </c>
      <c r="L31" s="278">
        <f t="shared" si="6"/>
        <v>0</v>
      </c>
      <c r="M31" s="278">
        <f t="shared" si="2"/>
        <v>1651600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v>250000</v>
      </c>
      <c r="H33" s="280"/>
      <c r="I33" s="280"/>
      <c r="J33" s="280"/>
      <c r="K33" s="280"/>
      <c r="L33" s="280"/>
      <c r="M33" s="281">
        <f t="shared" si="2"/>
        <v>250000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v>1200000</v>
      </c>
      <c r="H37" s="280"/>
      <c r="I37" s="280"/>
      <c r="J37" s="280">
        <v>201600</v>
      </c>
      <c r="K37" s="280"/>
      <c r="L37" s="280"/>
      <c r="M37" s="281">
        <f t="shared" si="2"/>
        <v>1401600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2119414</v>
      </c>
      <c r="H38" s="278">
        <f t="shared" si="7"/>
        <v>0</v>
      </c>
      <c r="I38" s="278">
        <f t="shared" si="7"/>
        <v>0</v>
      </c>
      <c r="J38" s="278">
        <f t="shared" si="7"/>
        <v>0</v>
      </c>
      <c r="K38" s="278">
        <f t="shared" si="7"/>
        <v>0</v>
      </c>
      <c r="L38" s="278">
        <f t="shared" si="7"/>
        <v>0</v>
      </c>
      <c r="M38" s="278">
        <f t="shared" si="2"/>
        <v>2119414</v>
      </c>
      <c r="N38" s="284">
        <f t="shared" si="7"/>
        <v>0</v>
      </c>
      <c r="O38">
        <v>206</v>
      </c>
    </row>
    <row r="39" spans="1:15" customFormat="1" ht="30" customHeight="1">
      <c r="A39" s="89">
        <v>161</v>
      </c>
      <c r="B39" s="86" t="s">
        <v>174</v>
      </c>
      <c r="C39" s="280"/>
      <c r="D39" s="280"/>
      <c r="E39" s="280"/>
      <c r="F39" s="280"/>
      <c r="G39" s="280">
        <v>2119414</v>
      </c>
      <c r="H39" s="280"/>
      <c r="I39" s="280"/>
      <c r="J39" s="280"/>
      <c r="K39" s="280"/>
      <c r="L39" s="280"/>
      <c r="M39" s="281">
        <f t="shared" si="2"/>
        <v>2119414</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0</v>
      </c>
      <c r="D43" s="285">
        <f>D44+D53+D57+D67+D77+D85+D88+D94+D98</f>
        <v>0</v>
      </c>
      <c r="E43" s="285">
        <f t="shared" si="9"/>
        <v>0</v>
      </c>
      <c r="F43" s="285">
        <f t="shared" si="9"/>
        <v>5955779</v>
      </c>
      <c r="G43" s="285">
        <f t="shared" si="9"/>
        <v>0</v>
      </c>
      <c r="H43" s="285">
        <f t="shared" si="9"/>
        <v>0</v>
      </c>
      <c r="I43" s="285">
        <f t="shared" si="9"/>
        <v>0</v>
      </c>
      <c r="J43" s="285">
        <f t="shared" si="9"/>
        <v>596402</v>
      </c>
      <c r="K43" s="285">
        <f t="shared" si="9"/>
        <v>0</v>
      </c>
      <c r="L43" s="285">
        <f t="shared" si="9"/>
        <v>0</v>
      </c>
      <c r="M43" s="285">
        <f t="shared" si="2"/>
        <v>6552181</v>
      </c>
      <c r="N43" s="286">
        <f t="shared" si="9"/>
        <v>0</v>
      </c>
      <c r="O43" s="177">
        <v>216</v>
      </c>
    </row>
    <row r="44" spans="1:15" customFormat="1" ht="30">
      <c r="A44" s="83">
        <v>2100</v>
      </c>
      <c r="B44" s="84" t="s">
        <v>178</v>
      </c>
      <c r="C44" s="278">
        <f t="shared" ref="C44:N44" si="10">SUM(C45:C52)</f>
        <v>0</v>
      </c>
      <c r="D44" s="278">
        <f>SUM(D45:D52)</f>
        <v>0</v>
      </c>
      <c r="E44" s="278">
        <f t="shared" si="10"/>
        <v>0</v>
      </c>
      <c r="F44" s="278">
        <f t="shared" si="10"/>
        <v>287602</v>
      </c>
      <c r="G44" s="278">
        <f t="shared" si="10"/>
        <v>0</v>
      </c>
      <c r="H44" s="278">
        <f t="shared" si="10"/>
        <v>0</v>
      </c>
      <c r="I44" s="278">
        <f t="shared" si="10"/>
        <v>0</v>
      </c>
      <c r="J44" s="278">
        <f t="shared" si="10"/>
        <v>53000</v>
      </c>
      <c r="K44" s="278">
        <f t="shared" si="10"/>
        <v>0</v>
      </c>
      <c r="L44" s="278">
        <f t="shared" si="10"/>
        <v>0</v>
      </c>
      <c r="M44" s="278">
        <f t="shared" si="2"/>
        <v>340602</v>
      </c>
      <c r="N44" s="284">
        <f t="shared" si="10"/>
        <v>0</v>
      </c>
      <c r="O44">
        <v>224</v>
      </c>
    </row>
    <row r="45" spans="1:15" customFormat="1" ht="25.5" customHeight="1">
      <c r="A45" s="89">
        <v>211</v>
      </c>
      <c r="B45" s="86" t="s">
        <v>179</v>
      </c>
      <c r="C45" s="280"/>
      <c r="D45" s="280"/>
      <c r="E45" s="280"/>
      <c r="F45" s="280">
        <v>78728</v>
      </c>
      <c r="G45" s="280"/>
      <c r="H45" s="280"/>
      <c r="I45" s="280"/>
      <c r="J45" s="280">
        <v>28000</v>
      </c>
      <c r="K45" s="280"/>
      <c r="L45" s="280"/>
      <c r="M45" s="281">
        <f t="shared" si="2"/>
        <v>106728</v>
      </c>
      <c r="N45" s="279"/>
      <c r="O45">
        <v>226</v>
      </c>
    </row>
    <row r="46" spans="1:15" customFormat="1" ht="25.5" customHeight="1">
      <c r="A46" s="89">
        <v>212</v>
      </c>
      <c r="B46" s="86" t="s">
        <v>180</v>
      </c>
      <c r="C46" s="280"/>
      <c r="D46" s="280"/>
      <c r="E46" s="280"/>
      <c r="F46" s="280">
        <v>50238</v>
      </c>
      <c r="G46" s="280"/>
      <c r="H46" s="280"/>
      <c r="I46" s="280"/>
      <c r="J46" s="280">
        <v>20000</v>
      </c>
      <c r="K46" s="280"/>
      <c r="L46" s="280"/>
      <c r="M46" s="281">
        <f t="shared" si="2"/>
        <v>70238</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c r="D48" s="280"/>
      <c r="E48" s="280"/>
      <c r="F48" s="280">
        <v>3136</v>
      </c>
      <c r="G48" s="280"/>
      <c r="H48" s="280"/>
      <c r="I48" s="280"/>
      <c r="J48" s="280"/>
      <c r="K48" s="280"/>
      <c r="L48" s="280"/>
      <c r="M48" s="281">
        <f t="shared" si="2"/>
        <v>3136</v>
      </c>
      <c r="N48" s="279"/>
    </row>
    <row r="49" spans="1:15" customFormat="1" ht="25.5" customHeight="1">
      <c r="A49" s="89">
        <v>215</v>
      </c>
      <c r="B49" s="86" t="s">
        <v>183</v>
      </c>
      <c r="C49" s="280"/>
      <c r="D49" s="280"/>
      <c r="E49" s="280"/>
      <c r="F49" s="280">
        <v>3500</v>
      </c>
      <c r="G49" s="280"/>
      <c r="H49" s="280"/>
      <c r="I49" s="280"/>
      <c r="J49" s="280"/>
      <c r="K49" s="280"/>
      <c r="L49" s="280"/>
      <c r="M49" s="281">
        <f t="shared" si="2"/>
        <v>3500</v>
      </c>
      <c r="N49" s="279"/>
      <c r="O49">
        <v>301</v>
      </c>
    </row>
    <row r="50" spans="1:15" customFormat="1" ht="25.5" customHeight="1">
      <c r="A50" s="89">
        <v>216</v>
      </c>
      <c r="B50" s="86" t="s">
        <v>184</v>
      </c>
      <c r="C50" s="280"/>
      <c r="D50" s="280"/>
      <c r="E50" s="280"/>
      <c r="F50" s="280">
        <v>22000</v>
      </c>
      <c r="G50" s="280"/>
      <c r="H50" s="280"/>
      <c r="I50" s="280"/>
      <c r="J50" s="280">
        <v>5000</v>
      </c>
      <c r="K50" s="280"/>
      <c r="L50" s="280"/>
      <c r="M50" s="281">
        <f t="shared" si="2"/>
        <v>27000</v>
      </c>
      <c r="N50" s="279"/>
      <c r="O50">
        <v>302</v>
      </c>
    </row>
    <row r="51" spans="1:15" customFormat="1" ht="25.5" customHeight="1">
      <c r="A51" s="89">
        <v>217</v>
      </c>
      <c r="B51" s="86" t="s">
        <v>185</v>
      </c>
      <c r="C51" s="280"/>
      <c r="D51" s="280"/>
      <c r="E51" s="280"/>
      <c r="F51" s="280"/>
      <c r="G51" s="280"/>
      <c r="H51" s="280"/>
      <c r="I51" s="280"/>
      <c r="J51" s="280"/>
      <c r="K51" s="280"/>
      <c r="L51" s="280"/>
      <c r="M51" s="281">
        <f t="shared" si="2"/>
        <v>0</v>
      </c>
      <c r="N51" s="279"/>
      <c r="O51">
        <v>303</v>
      </c>
    </row>
    <row r="52" spans="1:15" customFormat="1" ht="29.45" customHeight="1">
      <c r="A52" s="89">
        <v>218</v>
      </c>
      <c r="B52" s="86" t="s">
        <v>186</v>
      </c>
      <c r="C52" s="280"/>
      <c r="D52" s="280"/>
      <c r="E52" s="280"/>
      <c r="F52" s="280">
        <v>130000</v>
      </c>
      <c r="G52" s="280"/>
      <c r="H52" s="280"/>
      <c r="I52" s="280"/>
      <c r="J52" s="280"/>
      <c r="K52" s="280"/>
      <c r="L52" s="280"/>
      <c r="M52" s="281">
        <f t="shared" si="2"/>
        <v>130000</v>
      </c>
      <c r="N52" s="279"/>
      <c r="O52">
        <v>304</v>
      </c>
    </row>
    <row r="53" spans="1:15" customFormat="1" ht="25.5" customHeight="1">
      <c r="A53" s="83">
        <v>2200</v>
      </c>
      <c r="B53" s="84" t="s">
        <v>187</v>
      </c>
      <c r="C53" s="278">
        <f t="shared" ref="C53:N53" si="11">SUM(C54:C56)</f>
        <v>0</v>
      </c>
      <c r="D53" s="278">
        <f>SUM(D54:D56)</f>
        <v>0</v>
      </c>
      <c r="E53" s="278">
        <f t="shared" si="11"/>
        <v>0</v>
      </c>
      <c r="F53" s="278">
        <f t="shared" si="11"/>
        <v>503900</v>
      </c>
      <c r="G53" s="278">
        <f t="shared" si="11"/>
        <v>0</v>
      </c>
      <c r="H53" s="278">
        <f t="shared" si="11"/>
        <v>0</v>
      </c>
      <c r="I53" s="278">
        <f t="shared" si="11"/>
        <v>0</v>
      </c>
      <c r="J53" s="278">
        <f t="shared" si="11"/>
        <v>0</v>
      </c>
      <c r="K53" s="278">
        <f t="shared" si="11"/>
        <v>0</v>
      </c>
      <c r="L53" s="278">
        <f t="shared" si="11"/>
        <v>0</v>
      </c>
      <c r="M53" s="278">
        <f t="shared" si="2"/>
        <v>503900</v>
      </c>
      <c r="N53" s="284">
        <f t="shared" si="11"/>
        <v>0</v>
      </c>
      <c r="O53">
        <v>305</v>
      </c>
    </row>
    <row r="54" spans="1:15" customFormat="1" ht="25.5" customHeight="1">
      <c r="A54" s="89">
        <v>221</v>
      </c>
      <c r="B54" s="86" t="s">
        <v>188</v>
      </c>
      <c r="C54" s="280"/>
      <c r="D54" s="280"/>
      <c r="E54" s="280"/>
      <c r="F54" s="280">
        <v>503000</v>
      </c>
      <c r="G54" s="280"/>
      <c r="H54" s="280"/>
      <c r="I54" s="280"/>
      <c r="J54" s="280"/>
      <c r="K54" s="280"/>
      <c r="L54" s="280"/>
      <c r="M54" s="281">
        <f t="shared" si="2"/>
        <v>503000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v>900</v>
      </c>
      <c r="G56" s="280"/>
      <c r="H56" s="280"/>
      <c r="I56" s="280"/>
      <c r="J56" s="280"/>
      <c r="K56" s="280"/>
      <c r="L56" s="280"/>
      <c r="M56" s="281">
        <f t="shared" si="2"/>
        <v>900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0</v>
      </c>
      <c r="D67" s="278">
        <f>SUM(D68:D76)</f>
        <v>0</v>
      </c>
      <c r="E67" s="278">
        <f t="shared" si="13"/>
        <v>0</v>
      </c>
      <c r="F67" s="278">
        <f t="shared" si="13"/>
        <v>204200</v>
      </c>
      <c r="G67" s="278">
        <f t="shared" si="13"/>
        <v>0</v>
      </c>
      <c r="H67" s="278">
        <f t="shared" si="13"/>
        <v>0</v>
      </c>
      <c r="I67" s="278">
        <f t="shared" si="13"/>
        <v>0</v>
      </c>
      <c r="J67" s="278">
        <f t="shared" si="13"/>
        <v>0</v>
      </c>
      <c r="K67" s="278">
        <f t="shared" si="13"/>
        <v>0</v>
      </c>
      <c r="L67" s="278">
        <f t="shared" si="13"/>
        <v>0</v>
      </c>
      <c r="M67" s="278">
        <f t="shared" si="2"/>
        <v>204200</v>
      </c>
      <c r="N67" s="284">
        <f t="shared" si="13"/>
        <v>0</v>
      </c>
    </row>
    <row r="68" spans="1:15" customFormat="1" ht="25.5" customHeight="1">
      <c r="A68" s="89">
        <v>241</v>
      </c>
      <c r="B68" s="86" t="s">
        <v>202</v>
      </c>
      <c r="C68" s="280"/>
      <c r="D68" s="280"/>
      <c r="E68" s="280"/>
      <c r="F68" s="280">
        <v>11000</v>
      </c>
      <c r="G68" s="280"/>
      <c r="H68" s="280"/>
      <c r="I68" s="280"/>
      <c r="J68" s="280"/>
      <c r="K68" s="280"/>
      <c r="L68" s="280"/>
      <c r="M68" s="281">
        <f t="shared" si="2"/>
        <v>11000</v>
      </c>
      <c r="N68" s="279"/>
      <c r="O68">
        <v>401</v>
      </c>
    </row>
    <row r="69" spans="1:15" customFormat="1" ht="25.5" customHeight="1">
      <c r="A69" s="89">
        <v>242</v>
      </c>
      <c r="B69" s="86" t="s">
        <v>203</v>
      </c>
      <c r="C69" s="280"/>
      <c r="D69" s="280"/>
      <c r="E69" s="280"/>
      <c r="F69" s="280">
        <v>13000</v>
      </c>
      <c r="G69" s="280"/>
      <c r="H69" s="280"/>
      <c r="I69" s="280"/>
      <c r="J69" s="280"/>
      <c r="K69" s="280"/>
      <c r="L69" s="280"/>
      <c r="M69" s="281">
        <f t="shared" si="2"/>
        <v>13000</v>
      </c>
      <c r="N69" s="279"/>
      <c r="O69">
        <v>402</v>
      </c>
    </row>
    <row r="70" spans="1:15" customFormat="1" ht="25.5" customHeight="1">
      <c r="A70" s="89">
        <v>243</v>
      </c>
      <c r="B70" s="86" t="s">
        <v>204</v>
      </c>
      <c r="C70" s="280"/>
      <c r="D70" s="280"/>
      <c r="E70" s="280"/>
      <c r="F70" s="280"/>
      <c r="G70" s="280"/>
      <c r="H70" s="280"/>
      <c r="I70" s="280"/>
      <c r="J70" s="280"/>
      <c r="K70" s="280"/>
      <c r="L70" s="280"/>
      <c r="M70" s="281">
        <f t="shared" si="2"/>
        <v>0</v>
      </c>
      <c r="N70" s="279"/>
      <c r="O70">
        <v>403</v>
      </c>
    </row>
    <row r="71" spans="1:15" customFormat="1" ht="25.5" customHeight="1">
      <c r="A71" s="89">
        <v>244</v>
      </c>
      <c r="B71" s="86" t="s">
        <v>205</v>
      </c>
      <c r="C71" s="280"/>
      <c r="D71" s="280"/>
      <c r="E71" s="280"/>
      <c r="F71" s="280"/>
      <c r="G71" s="280"/>
      <c r="H71" s="280"/>
      <c r="I71" s="280"/>
      <c r="J71" s="280"/>
      <c r="K71" s="280"/>
      <c r="L71" s="280"/>
      <c r="M71" s="281">
        <f t="shared" ref="M71:M134" si="14">SUM(C71:L71)</f>
        <v>0</v>
      </c>
      <c r="N71" s="279"/>
      <c r="O71">
        <v>404</v>
      </c>
    </row>
    <row r="72" spans="1:15" customFormat="1" ht="25.5" customHeight="1">
      <c r="A72" s="89">
        <v>245</v>
      </c>
      <c r="B72" s="86" t="s">
        <v>206</v>
      </c>
      <c r="C72" s="280"/>
      <c r="D72" s="280"/>
      <c r="E72" s="280"/>
      <c r="F72" s="280">
        <v>27000</v>
      </c>
      <c r="G72" s="280"/>
      <c r="H72" s="280"/>
      <c r="I72" s="280"/>
      <c r="J72" s="280"/>
      <c r="K72" s="280"/>
      <c r="L72" s="280"/>
      <c r="M72" s="281">
        <f t="shared" si="14"/>
        <v>27000</v>
      </c>
      <c r="N72" s="279"/>
      <c r="O72">
        <v>405</v>
      </c>
    </row>
    <row r="73" spans="1:15" customFormat="1" ht="25.5" customHeight="1">
      <c r="A73" s="89">
        <v>246</v>
      </c>
      <c r="B73" s="86" t="s">
        <v>207</v>
      </c>
      <c r="C73" s="280"/>
      <c r="D73" s="280"/>
      <c r="E73" s="280"/>
      <c r="F73" s="280">
        <v>130000</v>
      </c>
      <c r="G73" s="280"/>
      <c r="H73" s="280"/>
      <c r="I73" s="280"/>
      <c r="J73" s="280"/>
      <c r="K73" s="280"/>
      <c r="L73" s="280"/>
      <c r="M73" s="281">
        <f t="shared" si="14"/>
        <v>130000</v>
      </c>
      <c r="N73" s="279"/>
      <c r="O73">
        <v>406</v>
      </c>
    </row>
    <row r="74" spans="1:15" customFormat="1" ht="25.5" customHeight="1">
      <c r="A74" s="89">
        <v>247</v>
      </c>
      <c r="B74" s="86" t="s">
        <v>208</v>
      </c>
      <c r="C74" s="280"/>
      <c r="D74" s="280"/>
      <c r="E74" s="280"/>
      <c r="F74" s="280">
        <v>1700</v>
      </c>
      <c r="G74" s="280"/>
      <c r="H74" s="280"/>
      <c r="I74" s="280"/>
      <c r="J74" s="280"/>
      <c r="K74" s="280"/>
      <c r="L74" s="280"/>
      <c r="M74" s="281">
        <f t="shared" si="14"/>
        <v>1700</v>
      </c>
      <c r="N74" s="279"/>
      <c r="O74">
        <v>407</v>
      </c>
    </row>
    <row r="75" spans="1:15" customFormat="1" ht="25.5" customHeight="1">
      <c r="A75" s="89">
        <v>248</v>
      </c>
      <c r="B75" s="86" t="s">
        <v>209</v>
      </c>
      <c r="C75" s="280"/>
      <c r="D75" s="280"/>
      <c r="E75" s="280"/>
      <c r="F75" s="280"/>
      <c r="G75" s="280"/>
      <c r="H75" s="280"/>
      <c r="I75" s="280"/>
      <c r="J75" s="280"/>
      <c r="K75" s="280"/>
      <c r="L75" s="280"/>
      <c r="M75" s="281">
        <f t="shared" si="14"/>
        <v>0</v>
      </c>
      <c r="N75" s="279"/>
      <c r="O75">
        <v>499</v>
      </c>
    </row>
    <row r="76" spans="1:15" customFormat="1" ht="25.5" customHeight="1">
      <c r="A76" s="89">
        <v>249</v>
      </c>
      <c r="B76" s="86" t="s">
        <v>210</v>
      </c>
      <c r="C76" s="280"/>
      <c r="D76" s="280"/>
      <c r="E76" s="280"/>
      <c r="F76" s="280">
        <v>21500</v>
      </c>
      <c r="G76" s="280"/>
      <c r="H76" s="280"/>
      <c r="I76" s="280"/>
      <c r="J76" s="280"/>
      <c r="K76" s="280"/>
      <c r="L76" s="280"/>
      <c r="M76" s="281">
        <f t="shared" si="14"/>
        <v>21500</v>
      </c>
      <c r="N76" s="279"/>
    </row>
    <row r="77" spans="1:15" customFormat="1" ht="25.5" customHeight="1">
      <c r="A77" s="83">
        <v>2500</v>
      </c>
      <c r="B77" s="84" t="s">
        <v>211</v>
      </c>
      <c r="C77" s="278">
        <f t="shared" ref="C77:N77" si="15">SUM(C78:C84)</f>
        <v>0</v>
      </c>
      <c r="D77" s="278">
        <f>SUM(D78:D84)</f>
        <v>0</v>
      </c>
      <c r="E77" s="278">
        <f t="shared" si="15"/>
        <v>0</v>
      </c>
      <c r="F77" s="278">
        <f t="shared" si="15"/>
        <v>858610</v>
      </c>
      <c r="G77" s="278">
        <f t="shared" si="15"/>
        <v>0</v>
      </c>
      <c r="H77" s="278">
        <f t="shared" si="15"/>
        <v>0</v>
      </c>
      <c r="I77" s="278">
        <f t="shared" si="15"/>
        <v>0</v>
      </c>
      <c r="J77" s="278">
        <f t="shared" si="15"/>
        <v>123000</v>
      </c>
      <c r="K77" s="278">
        <f t="shared" si="15"/>
        <v>0</v>
      </c>
      <c r="L77" s="278">
        <f t="shared" si="15"/>
        <v>0</v>
      </c>
      <c r="M77" s="278">
        <f t="shared" si="14"/>
        <v>981610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c r="D79" s="280"/>
      <c r="E79" s="280"/>
      <c r="F79" s="280"/>
      <c r="G79" s="280"/>
      <c r="H79" s="280"/>
      <c r="I79" s="280"/>
      <c r="J79" s="280"/>
      <c r="K79" s="280"/>
      <c r="L79" s="280"/>
      <c r="M79" s="281">
        <f t="shared" si="14"/>
        <v>0</v>
      </c>
      <c r="N79" s="279"/>
      <c r="O79">
        <v>503</v>
      </c>
    </row>
    <row r="80" spans="1:15" customFormat="1" ht="25.5" customHeight="1">
      <c r="A80" s="89">
        <v>253</v>
      </c>
      <c r="B80" s="86" t="s">
        <v>214</v>
      </c>
      <c r="C80" s="280"/>
      <c r="D80" s="280"/>
      <c r="E80" s="280"/>
      <c r="F80" s="280">
        <v>850000</v>
      </c>
      <c r="G80" s="280"/>
      <c r="H80" s="280"/>
      <c r="I80" s="280"/>
      <c r="J80" s="280">
        <v>70000</v>
      </c>
      <c r="K80" s="280"/>
      <c r="L80" s="280"/>
      <c r="M80" s="281">
        <f t="shared" si="14"/>
        <v>920000</v>
      </c>
      <c r="N80" s="279"/>
      <c r="O80">
        <v>599</v>
      </c>
    </row>
    <row r="81" spans="1:15" customFormat="1" ht="25.5" customHeight="1">
      <c r="A81" s="89">
        <v>254</v>
      </c>
      <c r="B81" s="86" t="s">
        <v>215</v>
      </c>
      <c r="C81" s="280"/>
      <c r="D81" s="280"/>
      <c r="E81" s="280"/>
      <c r="F81" s="280"/>
      <c r="G81" s="280"/>
      <c r="H81" s="280"/>
      <c r="I81" s="280"/>
      <c r="J81" s="280"/>
      <c r="K81" s="280"/>
      <c r="L81" s="280"/>
      <c r="M81" s="281">
        <f t="shared" si="14"/>
        <v>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v>6510</v>
      </c>
      <c r="G83" s="280"/>
      <c r="H83" s="280"/>
      <c r="I83" s="280"/>
      <c r="J83" s="280">
        <v>53000</v>
      </c>
      <c r="K83" s="280"/>
      <c r="L83" s="280"/>
      <c r="M83" s="281">
        <f t="shared" si="14"/>
        <v>59510</v>
      </c>
      <c r="N83" s="279"/>
      <c r="O83">
        <v>902</v>
      </c>
    </row>
    <row r="84" spans="1:15" customFormat="1" ht="25.5" customHeight="1">
      <c r="A84" s="89">
        <v>259</v>
      </c>
      <c r="B84" s="86" t="s">
        <v>218</v>
      </c>
      <c r="C84" s="280"/>
      <c r="D84" s="280"/>
      <c r="E84" s="280"/>
      <c r="F84" s="280">
        <v>2100</v>
      </c>
      <c r="G84" s="280"/>
      <c r="H84" s="280"/>
      <c r="I84" s="280"/>
      <c r="J84" s="280"/>
      <c r="K84" s="280"/>
      <c r="L84" s="280"/>
      <c r="M84" s="281">
        <f t="shared" si="14"/>
        <v>2100</v>
      </c>
      <c r="N84" s="279"/>
      <c r="O84">
        <v>903</v>
      </c>
    </row>
    <row r="85" spans="1:15" customFormat="1" ht="25.5" customHeight="1">
      <c r="A85" s="83">
        <v>2600</v>
      </c>
      <c r="B85" s="84" t="s">
        <v>219</v>
      </c>
      <c r="C85" s="278">
        <f t="shared" ref="C85:N85" si="16">SUM(C86:C87)</f>
        <v>0</v>
      </c>
      <c r="D85" s="278">
        <f>SUM(D86:D87)</f>
        <v>0</v>
      </c>
      <c r="E85" s="278">
        <f t="shared" si="16"/>
        <v>0</v>
      </c>
      <c r="F85" s="278">
        <f t="shared" si="16"/>
        <v>3120000</v>
      </c>
      <c r="G85" s="278">
        <f t="shared" si="16"/>
        <v>0</v>
      </c>
      <c r="H85" s="278">
        <f t="shared" si="16"/>
        <v>0</v>
      </c>
      <c r="I85" s="278">
        <f t="shared" si="16"/>
        <v>0</v>
      </c>
      <c r="J85" s="278">
        <f t="shared" si="16"/>
        <v>160000</v>
      </c>
      <c r="K85" s="278">
        <f t="shared" si="16"/>
        <v>0</v>
      </c>
      <c r="L85" s="278">
        <f t="shared" si="16"/>
        <v>0</v>
      </c>
      <c r="M85" s="278">
        <f t="shared" si="14"/>
        <v>3280000</v>
      </c>
      <c r="N85" s="284">
        <f t="shared" si="16"/>
        <v>0</v>
      </c>
      <c r="O85">
        <v>904</v>
      </c>
    </row>
    <row r="86" spans="1:15" customFormat="1" ht="25.5" customHeight="1">
      <c r="A86" s="89">
        <v>261</v>
      </c>
      <c r="B86" s="86" t="s">
        <v>220</v>
      </c>
      <c r="C86" s="280"/>
      <c r="D86" s="280"/>
      <c r="E86" s="280"/>
      <c r="F86" s="280">
        <v>3120000</v>
      </c>
      <c r="G86" s="280"/>
      <c r="H86" s="280"/>
      <c r="I86" s="280"/>
      <c r="J86" s="280">
        <v>160000</v>
      </c>
      <c r="K86" s="280"/>
      <c r="L86" s="280"/>
      <c r="M86" s="281">
        <f t="shared" si="14"/>
        <v>3280000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0</v>
      </c>
      <c r="D88" s="278">
        <f>SUM(D89:D93)</f>
        <v>0</v>
      </c>
      <c r="E88" s="278">
        <f t="shared" si="17"/>
        <v>0</v>
      </c>
      <c r="F88" s="278">
        <f t="shared" si="17"/>
        <v>38548</v>
      </c>
      <c r="G88" s="278">
        <f t="shared" si="17"/>
        <v>0</v>
      </c>
      <c r="H88" s="278">
        <f t="shared" si="17"/>
        <v>0</v>
      </c>
      <c r="I88" s="278">
        <f t="shared" si="17"/>
        <v>0</v>
      </c>
      <c r="J88" s="278">
        <f t="shared" si="17"/>
        <v>0</v>
      </c>
      <c r="K88" s="278">
        <f t="shared" si="17"/>
        <v>0</v>
      </c>
      <c r="L88" s="278">
        <f t="shared" si="17"/>
        <v>0</v>
      </c>
      <c r="M88" s="278">
        <f t="shared" si="14"/>
        <v>38548</v>
      </c>
      <c r="N88" s="284">
        <f t="shared" si="17"/>
        <v>0</v>
      </c>
    </row>
    <row r="89" spans="1:15" customFormat="1" ht="25.5" customHeight="1">
      <c r="A89" s="89">
        <v>271</v>
      </c>
      <c r="B89" s="86" t="s">
        <v>223</v>
      </c>
      <c r="C89" s="280"/>
      <c r="D89" s="280"/>
      <c r="E89" s="280"/>
      <c r="F89" s="280">
        <v>4650</v>
      </c>
      <c r="G89" s="280"/>
      <c r="H89" s="280"/>
      <c r="I89" s="280"/>
      <c r="J89" s="280"/>
      <c r="K89" s="280"/>
      <c r="L89" s="280"/>
      <c r="M89" s="281">
        <f t="shared" si="14"/>
        <v>4650</v>
      </c>
      <c r="N89" s="279"/>
    </row>
    <row r="90" spans="1:15" customFormat="1" ht="25.5" customHeight="1">
      <c r="A90" s="89">
        <v>272</v>
      </c>
      <c r="B90" s="86" t="s">
        <v>224</v>
      </c>
      <c r="C90" s="280"/>
      <c r="D90" s="280"/>
      <c r="E90" s="280"/>
      <c r="F90" s="280">
        <v>5130</v>
      </c>
      <c r="G90" s="280"/>
      <c r="H90" s="280"/>
      <c r="I90" s="280"/>
      <c r="J90" s="280"/>
      <c r="K90" s="280"/>
      <c r="L90" s="280"/>
      <c r="M90" s="281">
        <f t="shared" si="14"/>
        <v>5130</v>
      </c>
      <c r="N90" s="279"/>
    </row>
    <row r="91" spans="1:15" customFormat="1" ht="25.5" customHeight="1">
      <c r="A91" s="89">
        <v>273</v>
      </c>
      <c r="B91" s="86" t="s">
        <v>225</v>
      </c>
      <c r="C91" s="280"/>
      <c r="D91" s="280"/>
      <c r="E91" s="280"/>
      <c r="F91" s="280">
        <v>28768</v>
      </c>
      <c r="G91" s="280"/>
      <c r="H91" s="280"/>
      <c r="I91" s="280"/>
      <c r="J91" s="280"/>
      <c r="K91" s="280"/>
      <c r="L91" s="280"/>
      <c r="M91" s="281">
        <f t="shared" si="14"/>
        <v>28768</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106402</v>
      </c>
      <c r="K94" s="278">
        <f t="shared" si="18"/>
        <v>0</v>
      </c>
      <c r="L94" s="278">
        <f t="shared" si="18"/>
        <v>0</v>
      </c>
      <c r="M94" s="278">
        <f t="shared" si="14"/>
        <v>106402</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c r="D96" s="280"/>
      <c r="E96" s="280"/>
      <c r="F96" s="280"/>
      <c r="G96" s="280"/>
      <c r="H96" s="280"/>
      <c r="I96" s="280"/>
      <c r="J96" s="280">
        <v>106402</v>
      </c>
      <c r="K96" s="280"/>
      <c r="L96" s="280"/>
      <c r="M96" s="281">
        <f t="shared" si="14"/>
        <v>106402</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0</v>
      </c>
      <c r="D98" s="278">
        <f>SUM(D99:D107)</f>
        <v>0</v>
      </c>
      <c r="E98" s="278">
        <f t="shared" si="19"/>
        <v>0</v>
      </c>
      <c r="F98" s="278">
        <f t="shared" si="19"/>
        <v>942919</v>
      </c>
      <c r="G98" s="278">
        <f t="shared" si="19"/>
        <v>0</v>
      </c>
      <c r="H98" s="278">
        <f t="shared" si="19"/>
        <v>0</v>
      </c>
      <c r="I98" s="278">
        <f t="shared" si="19"/>
        <v>0</v>
      </c>
      <c r="J98" s="278">
        <f t="shared" si="19"/>
        <v>154000</v>
      </c>
      <c r="K98" s="278">
        <f t="shared" si="19"/>
        <v>0</v>
      </c>
      <c r="L98" s="278">
        <f t="shared" si="19"/>
        <v>0</v>
      </c>
      <c r="M98" s="278">
        <f t="shared" si="14"/>
        <v>1096919</v>
      </c>
      <c r="N98" s="284">
        <f t="shared" si="19"/>
        <v>0</v>
      </c>
    </row>
    <row r="99" spans="1:14" customFormat="1" ht="25.5" customHeight="1">
      <c r="A99" s="89">
        <v>291</v>
      </c>
      <c r="B99" s="86" t="s">
        <v>233</v>
      </c>
      <c r="C99" s="280"/>
      <c r="D99" s="280"/>
      <c r="E99" s="280"/>
      <c r="F99" s="280">
        <v>77590</v>
      </c>
      <c r="G99" s="280"/>
      <c r="H99" s="280"/>
      <c r="I99" s="280"/>
      <c r="J99" s="280"/>
      <c r="K99" s="280"/>
      <c r="L99" s="280"/>
      <c r="M99" s="281">
        <f t="shared" si="14"/>
        <v>77590</v>
      </c>
      <c r="N99" s="279"/>
    </row>
    <row r="100" spans="1:14" customFormat="1" ht="25.5" customHeight="1">
      <c r="A100" s="89">
        <v>292</v>
      </c>
      <c r="B100" s="86" t="s">
        <v>234</v>
      </c>
      <c r="C100" s="280"/>
      <c r="D100" s="280"/>
      <c r="E100" s="280"/>
      <c r="F100" s="280">
        <v>9129</v>
      </c>
      <c r="G100" s="280"/>
      <c r="H100" s="280"/>
      <c r="I100" s="280"/>
      <c r="J100" s="280">
        <v>1000</v>
      </c>
      <c r="K100" s="280"/>
      <c r="L100" s="280"/>
      <c r="M100" s="281">
        <f t="shared" si="14"/>
        <v>10129</v>
      </c>
      <c r="N100" s="279"/>
    </row>
    <row r="101" spans="1:14" customFormat="1" ht="38.25" customHeight="1">
      <c r="A101" s="89">
        <v>293</v>
      </c>
      <c r="B101" s="86" t="s">
        <v>235</v>
      </c>
      <c r="C101" s="280"/>
      <c r="D101" s="280"/>
      <c r="E101" s="280"/>
      <c r="F101" s="280"/>
      <c r="G101" s="280"/>
      <c r="H101" s="280"/>
      <c r="I101" s="280"/>
      <c r="J101" s="280"/>
      <c r="K101" s="280"/>
      <c r="L101" s="280"/>
      <c r="M101" s="281">
        <f t="shared" si="14"/>
        <v>0</v>
      </c>
      <c r="N101" s="279"/>
    </row>
    <row r="102" spans="1:14" customFormat="1" ht="25.5">
      <c r="A102" s="89">
        <v>294</v>
      </c>
      <c r="B102" s="86" t="s">
        <v>236</v>
      </c>
      <c r="C102" s="280"/>
      <c r="D102" s="280"/>
      <c r="E102" s="280"/>
      <c r="F102" s="280">
        <v>6200</v>
      </c>
      <c r="G102" s="280"/>
      <c r="H102" s="280"/>
      <c r="I102" s="280"/>
      <c r="J102" s="280"/>
      <c r="K102" s="280"/>
      <c r="L102" s="280"/>
      <c r="M102" s="281">
        <f t="shared" si="14"/>
        <v>6200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c r="D104" s="280"/>
      <c r="E104" s="280"/>
      <c r="F104" s="280">
        <v>550000</v>
      </c>
      <c r="G104" s="280"/>
      <c r="H104" s="280"/>
      <c r="I104" s="280"/>
      <c r="J104" s="280">
        <v>153000</v>
      </c>
      <c r="K104" s="280"/>
      <c r="L104" s="280"/>
      <c r="M104" s="281">
        <f t="shared" si="14"/>
        <v>703000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v>300000</v>
      </c>
      <c r="G106" s="280"/>
      <c r="H106" s="280"/>
      <c r="I106" s="280"/>
      <c r="J106" s="280"/>
      <c r="K106" s="280"/>
      <c r="L106" s="280"/>
      <c r="M106" s="281">
        <f t="shared" si="14"/>
        <v>300000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0</v>
      </c>
      <c r="D108" s="285">
        <f>D109+D119+D129+D139+D149+D159+D167+D177+D183</f>
        <v>0</v>
      </c>
      <c r="E108" s="285">
        <f t="shared" si="20"/>
        <v>0</v>
      </c>
      <c r="F108" s="285">
        <f t="shared" si="20"/>
        <v>1044600</v>
      </c>
      <c r="G108" s="285">
        <f t="shared" si="20"/>
        <v>6985488</v>
      </c>
      <c r="H108" s="285">
        <f t="shared" si="20"/>
        <v>0</v>
      </c>
      <c r="I108" s="285">
        <f t="shared" si="20"/>
        <v>0</v>
      </c>
      <c r="J108" s="285">
        <f t="shared" si="20"/>
        <v>2882659</v>
      </c>
      <c r="K108" s="285">
        <f t="shared" si="20"/>
        <v>0</v>
      </c>
      <c r="L108" s="285">
        <f t="shared" si="20"/>
        <v>0</v>
      </c>
      <c r="M108" s="285">
        <f t="shared" si="14"/>
        <v>10912747</v>
      </c>
      <c r="N108" s="287">
        <f t="shared" si="20"/>
        <v>0</v>
      </c>
    </row>
    <row r="109" spans="1:14" customFormat="1" ht="25.5" customHeight="1">
      <c r="A109" s="83">
        <v>3100</v>
      </c>
      <c r="B109" s="84" t="s">
        <v>242</v>
      </c>
      <c r="C109" s="278">
        <f>SUM(C110:C118)</f>
        <v>0</v>
      </c>
      <c r="D109" s="278">
        <f>SUM(D110:D118)</f>
        <v>0</v>
      </c>
      <c r="E109" s="278">
        <f t="shared" ref="E109:N109" si="21">SUM(E110:E118)</f>
        <v>0</v>
      </c>
      <c r="F109" s="278">
        <f t="shared" si="21"/>
        <v>59000</v>
      </c>
      <c r="G109" s="278">
        <f t="shared" si="21"/>
        <v>2398000</v>
      </c>
      <c r="H109" s="278">
        <f t="shared" si="21"/>
        <v>0</v>
      </c>
      <c r="I109" s="278">
        <f t="shared" si="21"/>
        <v>0</v>
      </c>
      <c r="J109" s="278">
        <f t="shared" si="21"/>
        <v>2600000</v>
      </c>
      <c r="K109" s="278">
        <f t="shared" si="21"/>
        <v>0</v>
      </c>
      <c r="L109" s="278">
        <f t="shared" si="21"/>
        <v>0</v>
      </c>
      <c r="M109" s="278">
        <f t="shared" si="14"/>
        <v>5057000</v>
      </c>
      <c r="N109" s="284">
        <f t="shared" si="21"/>
        <v>0</v>
      </c>
    </row>
    <row r="110" spans="1:14" customFormat="1" ht="25.5" customHeight="1">
      <c r="A110" s="89">
        <v>311</v>
      </c>
      <c r="B110" s="86" t="s">
        <v>243</v>
      </c>
      <c r="C110" s="280"/>
      <c r="D110" s="280"/>
      <c r="E110" s="280"/>
      <c r="F110" s="280"/>
      <c r="G110" s="280">
        <v>2200000</v>
      </c>
      <c r="H110" s="280"/>
      <c r="I110" s="280"/>
      <c r="J110" s="280">
        <v>2600000</v>
      </c>
      <c r="K110" s="280"/>
      <c r="L110" s="280"/>
      <c r="M110" s="281">
        <f t="shared" si="14"/>
        <v>4800000</v>
      </c>
      <c r="N110" s="279"/>
    </row>
    <row r="111" spans="1:14" customFormat="1" ht="25.5" customHeight="1">
      <c r="A111" s="89">
        <v>312</v>
      </c>
      <c r="B111" s="86" t="s">
        <v>244</v>
      </c>
      <c r="C111" s="280"/>
      <c r="D111" s="280"/>
      <c r="E111" s="280"/>
      <c r="F111" s="280">
        <v>55000</v>
      </c>
      <c r="G111" s="280"/>
      <c r="H111" s="280"/>
      <c r="I111" s="280"/>
      <c r="J111" s="280"/>
      <c r="K111" s="280"/>
      <c r="L111" s="280"/>
      <c r="M111" s="281">
        <f t="shared" si="14"/>
        <v>55000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c r="D113" s="280"/>
      <c r="E113" s="280"/>
      <c r="F113" s="280"/>
      <c r="G113" s="280">
        <v>65000</v>
      </c>
      <c r="H113" s="280"/>
      <c r="I113" s="280"/>
      <c r="J113" s="280"/>
      <c r="K113" s="280"/>
      <c r="L113" s="280"/>
      <c r="M113" s="281">
        <f t="shared" si="14"/>
        <v>65000</v>
      </c>
      <c r="N113" s="279"/>
    </row>
    <row r="114" spans="1:14" customFormat="1" ht="25.5" customHeight="1">
      <c r="A114" s="89">
        <v>315</v>
      </c>
      <c r="B114" s="86" t="s">
        <v>247</v>
      </c>
      <c r="C114" s="280"/>
      <c r="D114" s="280"/>
      <c r="E114" s="280"/>
      <c r="F114" s="280"/>
      <c r="G114" s="280"/>
      <c r="H114" s="280"/>
      <c r="I114" s="280"/>
      <c r="J114" s="280"/>
      <c r="K114" s="280"/>
      <c r="L114" s="280"/>
      <c r="M114" s="281">
        <f t="shared" si="14"/>
        <v>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v>133000</v>
      </c>
      <c r="H116" s="280"/>
      <c r="I116" s="280"/>
      <c r="J116" s="280"/>
      <c r="K116" s="280"/>
      <c r="L116" s="280"/>
      <c r="M116" s="281">
        <f t="shared" si="14"/>
        <v>133000</v>
      </c>
      <c r="N116" s="279"/>
    </row>
    <row r="117" spans="1:14" customFormat="1" ht="25.5" customHeight="1">
      <c r="A117" s="89">
        <v>318</v>
      </c>
      <c r="B117" s="86" t="s">
        <v>250</v>
      </c>
      <c r="C117" s="280"/>
      <c r="D117" s="280"/>
      <c r="E117" s="280"/>
      <c r="F117" s="280">
        <v>4000</v>
      </c>
      <c r="G117" s="280"/>
      <c r="H117" s="280"/>
      <c r="I117" s="280"/>
      <c r="J117" s="280"/>
      <c r="K117" s="280"/>
      <c r="L117" s="280"/>
      <c r="M117" s="281">
        <f t="shared" si="14"/>
        <v>4000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0</v>
      </c>
      <c r="D119" s="278">
        <f>SUM(D120:D128)</f>
        <v>0</v>
      </c>
      <c r="E119" s="278">
        <f t="shared" si="22"/>
        <v>0</v>
      </c>
      <c r="F119" s="278">
        <f t="shared" si="22"/>
        <v>266000</v>
      </c>
      <c r="G119" s="278">
        <f t="shared" si="22"/>
        <v>98000</v>
      </c>
      <c r="H119" s="278">
        <f t="shared" si="22"/>
        <v>0</v>
      </c>
      <c r="I119" s="278">
        <f t="shared" si="22"/>
        <v>0</v>
      </c>
      <c r="J119" s="278">
        <f t="shared" si="22"/>
        <v>111000</v>
      </c>
      <c r="K119" s="278">
        <f t="shared" si="22"/>
        <v>0</v>
      </c>
      <c r="L119" s="278">
        <f t="shared" si="22"/>
        <v>0</v>
      </c>
      <c r="M119" s="278">
        <f t="shared" si="14"/>
        <v>475000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c r="G121" s="280">
        <v>98000</v>
      </c>
      <c r="H121" s="280"/>
      <c r="I121" s="280"/>
      <c r="J121" s="280"/>
      <c r="K121" s="280"/>
      <c r="L121" s="280"/>
      <c r="M121" s="288">
        <f t="shared" si="14"/>
        <v>98000</v>
      </c>
      <c r="N121" s="289"/>
    </row>
    <row r="122" spans="1:14" ht="25.5">
      <c r="A122" s="89">
        <v>323</v>
      </c>
      <c r="B122" s="86" t="s">
        <v>255</v>
      </c>
      <c r="C122" s="280"/>
      <c r="D122" s="280"/>
      <c r="E122" s="280"/>
      <c r="F122" s="280">
        <v>42000</v>
      </c>
      <c r="G122" s="280"/>
      <c r="H122" s="280"/>
      <c r="I122" s="280"/>
      <c r="J122" s="280"/>
      <c r="K122" s="280"/>
      <c r="L122" s="280"/>
      <c r="M122" s="288">
        <f t="shared" si="14"/>
        <v>42000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v>65000</v>
      </c>
      <c r="G124" s="280"/>
      <c r="H124" s="280"/>
      <c r="I124" s="280"/>
      <c r="J124" s="280"/>
      <c r="K124" s="280"/>
      <c r="L124" s="280"/>
      <c r="M124" s="288">
        <f t="shared" si="14"/>
        <v>65000</v>
      </c>
      <c r="N124" s="289"/>
    </row>
    <row r="125" spans="1:14" ht="25.5" customHeight="1">
      <c r="A125" s="89">
        <v>326</v>
      </c>
      <c r="B125" s="86" t="s">
        <v>258</v>
      </c>
      <c r="C125" s="280"/>
      <c r="D125" s="280"/>
      <c r="E125" s="280"/>
      <c r="F125" s="280">
        <v>130000</v>
      </c>
      <c r="G125" s="280"/>
      <c r="H125" s="280"/>
      <c r="I125" s="280"/>
      <c r="J125" s="280">
        <v>111000</v>
      </c>
      <c r="K125" s="280"/>
      <c r="L125" s="280"/>
      <c r="M125" s="288">
        <f t="shared" si="14"/>
        <v>241000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v>29000</v>
      </c>
      <c r="G128" s="280"/>
      <c r="H128" s="280"/>
      <c r="I128" s="280"/>
      <c r="J128" s="280"/>
      <c r="K128" s="280"/>
      <c r="L128" s="280"/>
      <c r="M128" s="288">
        <f t="shared" si="14"/>
        <v>29000</v>
      </c>
      <c r="N128" s="289"/>
    </row>
    <row r="129" spans="1:14" customFormat="1" ht="30">
      <c r="A129" s="83">
        <v>3300</v>
      </c>
      <c r="B129" s="84" t="s">
        <v>262</v>
      </c>
      <c r="C129" s="278">
        <f t="shared" ref="C129:N129" si="23">SUM(C130:C138)</f>
        <v>0</v>
      </c>
      <c r="D129" s="278">
        <f>SUM(D130:D138)</f>
        <v>0</v>
      </c>
      <c r="E129" s="278">
        <f t="shared" si="23"/>
        <v>0</v>
      </c>
      <c r="F129" s="278">
        <f t="shared" si="23"/>
        <v>21500</v>
      </c>
      <c r="G129" s="278">
        <f t="shared" si="23"/>
        <v>0</v>
      </c>
      <c r="H129" s="278">
        <f t="shared" si="23"/>
        <v>0</v>
      </c>
      <c r="I129" s="278">
        <f t="shared" si="23"/>
        <v>0</v>
      </c>
      <c r="J129" s="278">
        <f t="shared" si="23"/>
        <v>0</v>
      </c>
      <c r="K129" s="278">
        <f t="shared" si="23"/>
        <v>0</v>
      </c>
      <c r="L129" s="278">
        <f t="shared" si="23"/>
        <v>0</v>
      </c>
      <c r="M129" s="278">
        <f t="shared" si="14"/>
        <v>21500</v>
      </c>
      <c r="N129" s="284">
        <f t="shared" si="23"/>
        <v>0</v>
      </c>
    </row>
    <row r="130" spans="1:14" customFormat="1" ht="25.5" customHeight="1">
      <c r="A130" s="89">
        <v>331</v>
      </c>
      <c r="B130" s="85" t="s">
        <v>263</v>
      </c>
      <c r="C130" s="280"/>
      <c r="D130" s="280"/>
      <c r="E130" s="280"/>
      <c r="F130" s="280"/>
      <c r="G130" s="280"/>
      <c r="H130" s="280"/>
      <c r="I130" s="280"/>
      <c r="J130" s="280"/>
      <c r="K130" s="280"/>
      <c r="L130" s="280"/>
      <c r="M130" s="281">
        <f t="shared" si="14"/>
        <v>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c r="H133" s="280"/>
      <c r="I133" s="280"/>
      <c r="J133" s="280"/>
      <c r="K133" s="280"/>
      <c r="L133" s="280"/>
      <c r="M133" s="281">
        <f t="shared" si="14"/>
        <v>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v>21500</v>
      </c>
      <c r="G137" s="280"/>
      <c r="H137" s="280"/>
      <c r="I137" s="280"/>
      <c r="J137" s="280"/>
      <c r="K137" s="280"/>
      <c r="L137" s="280"/>
      <c r="M137" s="281">
        <f t="shared" si="24"/>
        <v>21500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0</v>
      </c>
      <c r="D139" s="278">
        <f>SUM(D140:D148)</f>
        <v>0</v>
      </c>
      <c r="E139" s="278">
        <f t="shared" si="25"/>
        <v>0</v>
      </c>
      <c r="F139" s="278">
        <f t="shared" si="25"/>
        <v>163500</v>
      </c>
      <c r="G139" s="278">
        <f t="shared" si="25"/>
        <v>155000</v>
      </c>
      <c r="H139" s="278">
        <f t="shared" si="25"/>
        <v>0</v>
      </c>
      <c r="I139" s="278">
        <f t="shared" si="25"/>
        <v>0</v>
      </c>
      <c r="J139" s="278">
        <f t="shared" si="25"/>
        <v>149659</v>
      </c>
      <c r="K139" s="278">
        <f t="shared" si="25"/>
        <v>0</v>
      </c>
      <c r="L139" s="278">
        <f t="shared" si="25"/>
        <v>0</v>
      </c>
      <c r="M139" s="278">
        <f t="shared" si="24"/>
        <v>468159</v>
      </c>
      <c r="N139" s="284">
        <f t="shared" si="25"/>
        <v>0</v>
      </c>
    </row>
    <row r="140" spans="1:14" customFormat="1" ht="25.5" customHeight="1">
      <c r="A140" s="89">
        <v>341</v>
      </c>
      <c r="B140" s="86" t="s">
        <v>273</v>
      </c>
      <c r="C140" s="280"/>
      <c r="D140" s="280"/>
      <c r="E140" s="280"/>
      <c r="F140" s="280">
        <v>82000</v>
      </c>
      <c r="G140" s="280"/>
      <c r="H140" s="280"/>
      <c r="I140" s="280"/>
      <c r="J140" s="280">
        <v>17000</v>
      </c>
      <c r="K140" s="280"/>
      <c r="L140" s="280"/>
      <c r="M140" s="281">
        <f t="shared" si="24"/>
        <v>99000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v>81500</v>
      </c>
      <c r="G143" s="280"/>
      <c r="H143" s="280"/>
      <c r="I143" s="280"/>
      <c r="J143" s="280"/>
      <c r="K143" s="280"/>
      <c r="L143" s="280"/>
      <c r="M143" s="281">
        <f t="shared" si="24"/>
        <v>81500</v>
      </c>
      <c r="N143" s="279"/>
    </row>
    <row r="144" spans="1:14" customFormat="1" ht="25.5" customHeight="1">
      <c r="A144" s="89">
        <v>345</v>
      </c>
      <c r="B144" s="86" t="s">
        <v>277</v>
      </c>
      <c r="C144" s="280"/>
      <c r="D144" s="280"/>
      <c r="E144" s="280"/>
      <c r="F144" s="280"/>
      <c r="G144" s="280">
        <v>155000</v>
      </c>
      <c r="H144" s="280"/>
      <c r="I144" s="280"/>
      <c r="J144" s="280">
        <v>132659</v>
      </c>
      <c r="K144" s="280"/>
      <c r="L144" s="280"/>
      <c r="M144" s="281">
        <f t="shared" si="24"/>
        <v>287659</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v>0</v>
      </c>
      <c r="K148" s="280"/>
      <c r="L148" s="280"/>
      <c r="M148" s="281">
        <f t="shared" si="24"/>
        <v>0</v>
      </c>
      <c r="N148" s="279"/>
    </row>
    <row r="149" spans="1:14" customFormat="1" ht="30">
      <c r="A149" s="83">
        <v>3500</v>
      </c>
      <c r="B149" s="84" t="s">
        <v>282</v>
      </c>
      <c r="C149" s="278">
        <f t="shared" ref="C149:N149" si="26">SUM(C150:C158)</f>
        <v>0</v>
      </c>
      <c r="D149" s="278">
        <f>SUM(D150:D158)</f>
        <v>0</v>
      </c>
      <c r="E149" s="278">
        <f t="shared" si="26"/>
        <v>0</v>
      </c>
      <c r="F149" s="278">
        <f t="shared" si="26"/>
        <v>402600</v>
      </c>
      <c r="G149" s="278">
        <f t="shared" si="26"/>
        <v>0</v>
      </c>
      <c r="H149" s="278">
        <f t="shared" si="26"/>
        <v>0</v>
      </c>
      <c r="I149" s="278">
        <f t="shared" si="26"/>
        <v>0</v>
      </c>
      <c r="J149" s="278">
        <f t="shared" si="26"/>
        <v>0</v>
      </c>
      <c r="K149" s="278">
        <f t="shared" si="26"/>
        <v>0</v>
      </c>
      <c r="L149" s="278">
        <f t="shared" si="26"/>
        <v>0</v>
      </c>
      <c r="M149" s="278">
        <f t="shared" si="24"/>
        <v>402600</v>
      </c>
      <c r="N149" s="284">
        <f t="shared" si="26"/>
        <v>0</v>
      </c>
    </row>
    <row r="150" spans="1:14" customFormat="1" ht="25.5" customHeight="1">
      <c r="A150" s="89">
        <v>351</v>
      </c>
      <c r="B150" s="86" t="s">
        <v>283</v>
      </c>
      <c r="C150" s="280"/>
      <c r="D150" s="280"/>
      <c r="E150" s="280"/>
      <c r="F150" s="280">
        <v>7600</v>
      </c>
      <c r="G150" s="280"/>
      <c r="H150" s="280"/>
      <c r="I150" s="280"/>
      <c r="J150" s="280"/>
      <c r="K150" s="280"/>
      <c r="L150" s="280"/>
      <c r="M150" s="281">
        <f t="shared" si="24"/>
        <v>7600</v>
      </c>
      <c r="N150" s="279"/>
    </row>
    <row r="151" spans="1:14" customFormat="1" ht="34.5" customHeight="1">
      <c r="A151" s="89">
        <v>352</v>
      </c>
      <c r="B151" s="86" t="s">
        <v>284</v>
      </c>
      <c r="C151" s="280"/>
      <c r="D151" s="280"/>
      <c r="E151" s="280"/>
      <c r="F151" s="280"/>
      <c r="G151" s="280"/>
      <c r="H151" s="280"/>
      <c r="I151" s="280"/>
      <c r="J151" s="280"/>
      <c r="K151" s="280"/>
      <c r="L151" s="280"/>
      <c r="M151" s="281">
        <f t="shared" si="24"/>
        <v>0</v>
      </c>
      <c r="N151" s="279"/>
    </row>
    <row r="152" spans="1:14" customFormat="1" ht="33" customHeight="1">
      <c r="A152" s="89">
        <v>353</v>
      </c>
      <c r="B152" s="86" t="s">
        <v>285</v>
      </c>
      <c r="C152" s="280"/>
      <c r="D152" s="280"/>
      <c r="E152" s="280"/>
      <c r="F152" s="280">
        <v>58000</v>
      </c>
      <c r="G152" s="280"/>
      <c r="H152" s="280"/>
      <c r="I152" s="280"/>
      <c r="J152" s="280"/>
      <c r="K152" s="280"/>
      <c r="L152" s="280"/>
      <c r="M152" s="281">
        <f t="shared" si="24"/>
        <v>58000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c r="D154" s="280"/>
      <c r="E154" s="280"/>
      <c r="F154" s="280">
        <v>302000</v>
      </c>
      <c r="G154" s="280"/>
      <c r="H154" s="280"/>
      <c r="I154" s="280"/>
      <c r="J154" s="280"/>
      <c r="K154" s="280"/>
      <c r="L154" s="280"/>
      <c r="M154" s="281">
        <f t="shared" si="24"/>
        <v>302000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v>35000</v>
      </c>
      <c r="G156" s="280"/>
      <c r="H156" s="280"/>
      <c r="I156" s="280"/>
      <c r="J156" s="280"/>
      <c r="K156" s="280"/>
      <c r="L156" s="280"/>
      <c r="M156" s="281">
        <f t="shared" si="24"/>
        <v>35000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82000</v>
      </c>
      <c r="G159" s="278">
        <f t="shared" si="27"/>
        <v>0</v>
      </c>
      <c r="H159" s="278">
        <f t="shared" si="27"/>
        <v>0</v>
      </c>
      <c r="I159" s="278">
        <f t="shared" si="27"/>
        <v>0</v>
      </c>
      <c r="J159" s="278">
        <f t="shared" si="27"/>
        <v>0</v>
      </c>
      <c r="K159" s="278">
        <f t="shared" si="27"/>
        <v>0</v>
      </c>
      <c r="L159" s="278">
        <f t="shared" si="27"/>
        <v>0</v>
      </c>
      <c r="M159" s="278">
        <f t="shared" si="24"/>
        <v>82000</v>
      </c>
      <c r="N159" s="284">
        <f t="shared" si="27"/>
        <v>0</v>
      </c>
    </row>
    <row r="160" spans="1:14" customFormat="1" ht="29.25" customHeight="1">
      <c r="A160" s="89">
        <v>361</v>
      </c>
      <c r="B160" s="86" t="s">
        <v>293</v>
      </c>
      <c r="C160" s="280"/>
      <c r="D160" s="280"/>
      <c r="E160" s="280"/>
      <c r="F160" s="280">
        <v>82000</v>
      </c>
      <c r="G160" s="280"/>
      <c r="H160" s="280"/>
      <c r="I160" s="280"/>
      <c r="J160" s="280"/>
      <c r="K160" s="280"/>
      <c r="L160" s="280"/>
      <c r="M160" s="281">
        <f t="shared" si="24"/>
        <v>82000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0</v>
      </c>
      <c r="D167" s="278">
        <f>SUM(D168:D176)</f>
        <v>0</v>
      </c>
      <c r="E167" s="278">
        <f t="shared" si="28"/>
        <v>0</v>
      </c>
      <c r="F167" s="278">
        <f t="shared" si="28"/>
        <v>50000</v>
      </c>
      <c r="G167" s="278">
        <f t="shared" si="28"/>
        <v>500000</v>
      </c>
      <c r="H167" s="278">
        <f t="shared" si="28"/>
        <v>0</v>
      </c>
      <c r="I167" s="278">
        <f t="shared" si="28"/>
        <v>0</v>
      </c>
      <c r="J167" s="278">
        <f t="shared" si="28"/>
        <v>0</v>
      </c>
      <c r="K167" s="278">
        <f t="shared" si="28"/>
        <v>0</v>
      </c>
      <c r="L167" s="278">
        <f t="shared" si="28"/>
        <v>0</v>
      </c>
      <c r="M167" s="278">
        <f t="shared" si="24"/>
        <v>550000</v>
      </c>
      <c r="N167" s="284">
        <f t="shared" si="28"/>
        <v>0</v>
      </c>
    </row>
    <row r="168" spans="1:14" customFormat="1" ht="25.5" customHeight="1">
      <c r="A168" s="89">
        <v>371</v>
      </c>
      <c r="B168" s="86" t="s">
        <v>301</v>
      </c>
      <c r="C168" s="280"/>
      <c r="D168" s="280"/>
      <c r="E168" s="280"/>
      <c r="F168" s="280">
        <v>6000</v>
      </c>
      <c r="G168" s="280"/>
      <c r="H168" s="280"/>
      <c r="I168" s="280"/>
      <c r="J168" s="280"/>
      <c r="K168" s="280"/>
      <c r="L168" s="280"/>
      <c r="M168" s="281">
        <f t="shared" si="24"/>
        <v>6000</v>
      </c>
      <c r="N168" s="279"/>
    </row>
    <row r="169" spans="1:14" customFormat="1" ht="25.5" customHeight="1">
      <c r="A169" s="89">
        <v>372</v>
      </c>
      <c r="B169" s="86" t="s">
        <v>302</v>
      </c>
      <c r="C169" s="280"/>
      <c r="D169" s="280"/>
      <c r="E169" s="280"/>
      <c r="F169" s="280">
        <v>16000</v>
      </c>
      <c r="G169" s="280"/>
      <c r="H169" s="280"/>
      <c r="I169" s="280"/>
      <c r="J169" s="280"/>
      <c r="K169" s="280"/>
      <c r="L169" s="280"/>
      <c r="M169" s="281">
        <f t="shared" si="24"/>
        <v>16000</v>
      </c>
      <c r="N169" s="279"/>
    </row>
    <row r="170" spans="1:14" customFormat="1" ht="25.5" customHeight="1">
      <c r="A170" s="89">
        <v>373</v>
      </c>
      <c r="B170" s="86" t="s">
        <v>303</v>
      </c>
      <c r="C170" s="280"/>
      <c r="D170" s="280"/>
      <c r="E170" s="280"/>
      <c r="F170" s="280">
        <v>28000</v>
      </c>
      <c r="G170" s="280"/>
      <c r="H170" s="280"/>
      <c r="I170" s="280"/>
      <c r="J170" s="280"/>
      <c r="K170" s="280"/>
      <c r="L170" s="280"/>
      <c r="M170" s="281">
        <f t="shared" si="24"/>
        <v>28000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c r="D172" s="280"/>
      <c r="E172" s="280"/>
      <c r="F172" s="280"/>
      <c r="G172" s="280">
        <v>500000</v>
      </c>
      <c r="H172" s="280"/>
      <c r="I172" s="280"/>
      <c r="J172" s="280"/>
      <c r="K172" s="280"/>
      <c r="L172" s="280"/>
      <c r="M172" s="281">
        <f t="shared" si="24"/>
        <v>500000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0</v>
      </c>
      <c r="D177" s="278">
        <f>SUM(D178:D182)</f>
        <v>0</v>
      </c>
      <c r="E177" s="278">
        <f t="shared" si="29"/>
        <v>0</v>
      </c>
      <c r="F177" s="278">
        <f t="shared" si="29"/>
        <v>0</v>
      </c>
      <c r="G177" s="278">
        <f t="shared" si="29"/>
        <v>1700000</v>
      </c>
      <c r="H177" s="278">
        <f t="shared" si="29"/>
        <v>0</v>
      </c>
      <c r="I177" s="278">
        <f t="shared" si="29"/>
        <v>0</v>
      </c>
      <c r="J177" s="278">
        <f t="shared" si="29"/>
        <v>0</v>
      </c>
      <c r="K177" s="278">
        <f t="shared" si="29"/>
        <v>0</v>
      </c>
      <c r="L177" s="278">
        <f t="shared" si="29"/>
        <v>0</v>
      </c>
      <c r="M177" s="278">
        <f t="shared" si="24"/>
        <v>1700000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c r="D179" s="280"/>
      <c r="E179" s="280"/>
      <c r="F179" s="280"/>
      <c r="G179" s="280">
        <v>1700000</v>
      </c>
      <c r="H179" s="280"/>
      <c r="I179" s="280"/>
      <c r="J179" s="280"/>
      <c r="K179" s="280"/>
      <c r="L179" s="280"/>
      <c r="M179" s="281">
        <f t="shared" si="24"/>
        <v>1700000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0</v>
      </c>
      <c r="D183" s="278">
        <f>SUM(D184:D192)</f>
        <v>0</v>
      </c>
      <c r="E183" s="278">
        <f t="shared" si="30"/>
        <v>0</v>
      </c>
      <c r="F183" s="278">
        <f t="shared" si="30"/>
        <v>0</v>
      </c>
      <c r="G183" s="278">
        <f t="shared" si="30"/>
        <v>2134488</v>
      </c>
      <c r="H183" s="278">
        <f t="shared" si="30"/>
        <v>0</v>
      </c>
      <c r="I183" s="278">
        <f t="shared" si="30"/>
        <v>0</v>
      </c>
      <c r="J183" s="278">
        <f t="shared" si="30"/>
        <v>22000</v>
      </c>
      <c r="K183" s="278">
        <f t="shared" si="30"/>
        <v>0</v>
      </c>
      <c r="L183" s="278">
        <f t="shared" si="30"/>
        <v>0</v>
      </c>
      <c r="M183" s="278">
        <f t="shared" si="24"/>
        <v>2156488</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c r="D185" s="280"/>
      <c r="E185" s="280"/>
      <c r="F185" s="280"/>
      <c r="G185" s="280">
        <v>2134488</v>
      </c>
      <c r="H185" s="280"/>
      <c r="I185" s="280"/>
      <c r="J185" s="280">
        <v>22000</v>
      </c>
      <c r="K185" s="280"/>
      <c r="L185" s="280"/>
      <c r="M185" s="281">
        <f t="shared" si="24"/>
        <v>2156488</v>
      </c>
      <c r="N185" s="279"/>
    </row>
    <row r="186" spans="1:14" customFormat="1" ht="25.5" customHeight="1">
      <c r="A186" s="89">
        <v>393</v>
      </c>
      <c r="B186" s="86" t="s">
        <v>319</v>
      </c>
      <c r="C186" s="280"/>
      <c r="D186" s="280"/>
      <c r="E186" s="280"/>
      <c r="F186" s="280"/>
      <c r="G186" s="280"/>
      <c r="H186" s="280"/>
      <c r="I186" s="280"/>
      <c r="J186" s="280">
        <v>0</v>
      </c>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0</v>
      </c>
      <c r="D193" s="285">
        <f>D194+D204+D210+D220+D229+D233+D249+D241+D243</f>
        <v>0</v>
      </c>
      <c r="E193" s="285">
        <f t="shared" si="31"/>
        <v>0</v>
      </c>
      <c r="F193" s="285">
        <f t="shared" si="31"/>
        <v>0</v>
      </c>
      <c r="G193" s="285">
        <f t="shared" si="31"/>
        <v>4813000</v>
      </c>
      <c r="H193" s="285">
        <f t="shared" si="31"/>
        <v>847512</v>
      </c>
      <c r="I193" s="285">
        <f t="shared" si="31"/>
        <v>0</v>
      </c>
      <c r="J193" s="285">
        <f t="shared" si="31"/>
        <v>1166000</v>
      </c>
      <c r="K193" s="285">
        <f t="shared" si="31"/>
        <v>0</v>
      </c>
      <c r="L193" s="285">
        <f t="shared" si="31"/>
        <v>0</v>
      </c>
      <c r="M193" s="285">
        <f t="shared" si="24"/>
        <v>6826512</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0</v>
      </c>
      <c r="N204" s="283"/>
    </row>
    <row r="205" spans="1:14" customFormat="1" ht="25.5">
      <c r="A205" s="89">
        <v>421</v>
      </c>
      <c r="B205" s="86" t="s">
        <v>337</v>
      </c>
      <c r="C205" s="280"/>
      <c r="D205" s="280"/>
      <c r="E205" s="280"/>
      <c r="F205" s="280"/>
      <c r="G205" s="280"/>
      <c r="H205" s="280"/>
      <c r="I205" s="280"/>
      <c r="J205" s="280"/>
      <c r="K205" s="280"/>
      <c r="L205" s="280"/>
      <c r="M205" s="281">
        <f t="shared" si="33"/>
        <v>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0</v>
      </c>
      <c r="D220" s="278">
        <f>SUM(D221:D228)</f>
        <v>0</v>
      </c>
      <c r="E220" s="278">
        <f t="shared" si="36"/>
        <v>0</v>
      </c>
      <c r="F220" s="278">
        <f t="shared" si="36"/>
        <v>0</v>
      </c>
      <c r="G220" s="278">
        <f t="shared" si="36"/>
        <v>4813000</v>
      </c>
      <c r="H220" s="278">
        <f t="shared" si="36"/>
        <v>847512</v>
      </c>
      <c r="I220" s="278">
        <f t="shared" si="36"/>
        <v>0</v>
      </c>
      <c r="J220" s="278">
        <f t="shared" si="36"/>
        <v>1166000</v>
      </c>
      <c r="K220" s="278">
        <f t="shared" si="36"/>
        <v>0</v>
      </c>
      <c r="L220" s="278">
        <f t="shared" si="36"/>
        <v>0</v>
      </c>
      <c r="M220" s="278">
        <f t="shared" si="33"/>
        <v>6826512</v>
      </c>
      <c r="N220" s="284">
        <f t="shared" si="36"/>
        <v>0</v>
      </c>
    </row>
    <row r="221" spans="1:14" customFormat="1" ht="25.5" customHeight="1">
      <c r="A221" s="89">
        <v>441</v>
      </c>
      <c r="B221" s="86" t="s">
        <v>351</v>
      </c>
      <c r="C221" s="280"/>
      <c r="D221" s="280"/>
      <c r="E221" s="280"/>
      <c r="F221" s="280"/>
      <c r="G221" s="280">
        <v>850000</v>
      </c>
      <c r="H221" s="280"/>
      <c r="I221" s="280"/>
      <c r="J221" s="280">
        <v>1166000</v>
      </c>
      <c r="K221" s="280"/>
      <c r="L221" s="280"/>
      <c r="M221" s="281">
        <f t="shared" si="33"/>
        <v>2016000</v>
      </c>
      <c r="N221" s="279"/>
    </row>
    <row r="222" spans="1:14" customFormat="1" ht="25.5" customHeight="1">
      <c r="A222" s="89">
        <v>442</v>
      </c>
      <c r="B222" s="86" t="s">
        <v>352</v>
      </c>
      <c r="C222" s="280"/>
      <c r="D222" s="280"/>
      <c r="E222" s="280"/>
      <c r="F222" s="280"/>
      <c r="G222" s="280"/>
      <c r="H222" s="280"/>
      <c r="I222" s="280"/>
      <c r="J222" s="280"/>
      <c r="K222" s="280"/>
      <c r="L222" s="280"/>
      <c r="M222" s="281">
        <f t="shared" si="33"/>
        <v>0</v>
      </c>
      <c r="N222" s="279"/>
    </row>
    <row r="223" spans="1:14" customFormat="1" ht="25.5" customHeight="1">
      <c r="A223" s="89">
        <v>443</v>
      </c>
      <c r="B223" s="86" t="s">
        <v>353</v>
      </c>
      <c r="C223" s="280"/>
      <c r="D223" s="280"/>
      <c r="E223" s="280"/>
      <c r="F223" s="280"/>
      <c r="G223" s="280">
        <v>110000</v>
      </c>
      <c r="H223" s="280">
        <v>847512</v>
      </c>
      <c r="I223" s="280"/>
      <c r="J223" s="280"/>
      <c r="K223" s="280"/>
      <c r="L223" s="280"/>
      <c r="M223" s="281">
        <f t="shared" si="33"/>
        <v>957512</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v>3853000</v>
      </c>
      <c r="H225" s="280"/>
      <c r="I225" s="280"/>
      <c r="J225" s="280"/>
      <c r="K225" s="280"/>
      <c r="L225" s="280"/>
      <c r="M225" s="281">
        <f t="shared" si="33"/>
        <v>3853000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0</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1044</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36031</v>
      </c>
      <c r="G253" s="285">
        <f t="shared" si="42"/>
        <v>2512153</v>
      </c>
      <c r="H253" s="285">
        <f t="shared" si="42"/>
        <v>0</v>
      </c>
      <c r="I253" s="285">
        <f t="shared" si="42"/>
        <v>0</v>
      </c>
      <c r="J253" s="285">
        <f t="shared" si="42"/>
        <v>196088</v>
      </c>
      <c r="K253" s="285">
        <f t="shared" si="42"/>
        <v>0</v>
      </c>
      <c r="L253" s="285">
        <f t="shared" si="42"/>
        <v>0</v>
      </c>
      <c r="M253" s="285">
        <f t="shared" si="33"/>
        <v>2744272</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36031</v>
      </c>
      <c r="G254" s="278">
        <f t="shared" si="43"/>
        <v>50000</v>
      </c>
      <c r="H254" s="278">
        <f t="shared" si="43"/>
        <v>0</v>
      </c>
      <c r="I254" s="278">
        <f t="shared" si="43"/>
        <v>0</v>
      </c>
      <c r="J254" s="278">
        <f t="shared" si="43"/>
        <v>196088</v>
      </c>
      <c r="K254" s="278">
        <f t="shared" si="43"/>
        <v>0</v>
      </c>
      <c r="L254" s="278">
        <f t="shared" si="43"/>
        <v>0</v>
      </c>
      <c r="M254" s="278">
        <f t="shared" si="33"/>
        <v>282119</v>
      </c>
      <c r="N254" s="284">
        <f t="shared" si="43"/>
        <v>0</v>
      </c>
    </row>
    <row r="255" spans="1:14" customFormat="1" ht="25.5" customHeight="1">
      <c r="A255" s="89">
        <v>511</v>
      </c>
      <c r="B255" s="86" t="s">
        <v>383</v>
      </c>
      <c r="C255" s="280"/>
      <c r="D255" s="280"/>
      <c r="E255" s="280"/>
      <c r="F255" s="280">
        <v>30000</v>
      </c>
      <c r="G255" s="280"/>
      <c r="H255" s="280"/>
      <c r="I255" s="280"/>
      <c r="J255" s="280"/>
      <c r="K255" s="280"/>
      <c r="L255" s="280"/>
      <c r="M255" s="281">
        <f t="shared" si="33"/>
        <v>30000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v>6031</v>
      </c>
      <c r="G259" s="280">
        <v>50000</v>
      </c>
      <c r="H259" s="280"/>
      <c r="I259" s="280"/>
      <c r="J259" s="280">
        <v>196088</v>
      </c>
      <c r="K259" s="280"/>
      <c r="L259" s="280"/>
      <c r="M259" s="281">
        <f t="shared" si="33"/>
        <v>252119</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2462153</v>
      </c>
      <c r="H269" s="278">
        <f t="shared" si="47"/>
        <v>0</v>
      </c>
      <c r="I269" s="278">
        <f t="shared" si="47"/>
        <v>0</v>
      </c>
      <c r="J269" s="278">
        <f t="shared" si="47"/>
        <v>0</v>
      </c>
      <c r="K269" s="278">
        <f t="shared" si="47"/>
        <v>0</v>
      </c>
      <c r="L269" s="278">
        <f t="shared" si="47"/>
        <v>0</v>
      </c>
      <c r="M269" s="278">
        <f t="shared" si="45"/>
        <v>2462153</v>
      </c>
      <c r="N269" s="284">
        <f t="shared" si="47"/>
        <v>0</v>
      </c>
    </row>
    <row r="270" spans="1:14" customFormat="1" ht="25.5" customHeight="1">
      <c r="A270" s="89">
        <v>541</v>
      </c>
      <c r="B270" s="86" t="s">
        <v>398</v>
      </c>
      <c r="C270" s="280"/>
      <c r="D270" s="280"/>
      <c r="E270" s="280"/>
      <c r="F270" s="280"/>
      <c r="G270" s="280">
        <v>2112153</v>
      </c>
      <c r="H270" s="280"/>
      <c r="I270" s="280"/>
      <c r="J270" s="280"/>
      <c r="K270" s="280"/>
      <c r="L270" s="280"/>
      <c r="M270" s="281">
        <f t="shared" si="45"/>
        <v>2112153</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v>350000</v>
      </c>
      <c r="H274" s="280"/>
      <c r="I274" s="280"/>
      <c r="J274" s="280"/>
      <c r="K274" s="280"/>
      <c r="L274" s="280"/>
      <c r="M274" s="281">
        <f t="shared" si="45"/>
        <v>350000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c r="H285" s="280"/>
      <c r="I285" s="280"/>
      <c r="J285" s="280"/>
      <c r="K285" s="280"/>
      <c r="L285" s="280"/>
      <c r="M285" s="281">
        <f t="shared" si="45"/>
        <v>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0</v>
      </c>
      <c r="H312" s="285">
        <f t="shared" si="53"/>
        <v>0</v>
      </c>
      <c r="I312" s="285">
        <f t="shared" si="53"/>
        <v>0</v>
      </c>
      <c r="J312" s="285">
        <f t="shared" si="53"/>
        <v>8442354</v>
      </c>
      <c r="K312" s="285">
        <f t="shared" si="53"/>
        <v>0</v>
      </c>
      <c r="L312" s="285">
        <f t="shared" si="53"/>
        <v>0</v>
      </c>
      <c r="M312" s="285">
        <f t="shared" si="45"/>
        <v>8442354</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4582192</v>
      </c>
      <c r="K313" s="278">
        <f t="shared" si="54"/>
        <v>0</v>
      </c>
      <c r="L313" s="278">
        <f t="shared" si="54"/>
        <v>0</v>
      </c>
      <c r="M313" s="278">
        <f t="shared" si="45"/>
        <v>4582192</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v>852191</v>
      </c>
      <c r="K315" s="280"/>
      <c r="L315" s="280"/>
      <c r="M315" s="281">
        <f>SUM(C315:L315)</f>
        <v>852191</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v>2873701</v>
      </c>
      <c r="K317" s="280"/>
      <c r="L317" s="280"/>
      <c r="M317" s="281">
        <f>SUM(C317:L317)</f>
        <v>2873701</v>
      </c>
      <c r="N317" s="279"/>
    </row>
    <row r="318" spans="1:14" customFormat="1" ht="25.5" customHeight="1">
      <c r="A318" s="89">
        <v>615</v>
      </c>
      <c r="B318" s="86" t="s">
        <v>444</v>
      </c>
      <c r="C318" s="280"/>
      <c r="D318" s="280"/>
      <c r="E318" s="280"/>
      <c r="F318" s="280"/>
      <c r="G318" s="280"/>
      <c r="H318" s="280"/>
      <c r="I318" s="280"/>
      <c r="J318" s="280">
        <v>856300</v>
      </c>
      <c r="K318" s="280"/>
      <c r="L318" s="280"/>
      <c r="M318" s="281">
        <f t="shared" si="45"/>
        <v>856300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3860162</v>
      </c>
      <c r="K322" s="278">
        <f t="shared" si="55"/>
        <v>0</v>
      </c>
      <c r="L322" s="278">
        <f t="shared" si="55"/>
        <v>0</v>
      </c>
      <c r="M322" s="278">
        <f t="shared" si="45"/>
        <v>3860162</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v>3860162</v>
      </c>
      <c r="K325" s="280"/>
      <c r="L325" s="280"/>
      <c r="M325" s="281">
        <f t="shared" si="45"/>
        <v>3860162</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2503716</v>
      </c>
      <c r="H400" s="285">
        <f t="shared" si="71"/>
        <v>0</v>
      </c>
      <c r="I400" s="285">
        <f t="shared" si="71"/>
        <v>0</v>
      </c>
      <c r="J400" s="285">
        <f t="shared" si="71"/>
        <v>0</v>
      </c>
      <c r="K400" s="285">
        <f t="shared" si="71"/>
        <v>0</v>
      </c>
      <c r="L400" s="285">
        <f t="shared" si="71"/>
        <v>0</v>
      </c>
      <c r="M400" s="285">
        <f t="shared" si="69"/>
        <v>2503716</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459266</v>
      </c>
      <c r="H401" s="278">
        <f t="shared" si="72"/>
        <v>0</v>
      </c>
      <c r="I401" s="278">
        <f t="shared" si="72"/>
        <v>0</v>
      </c>
      <c r="J401" s="278">
        <f t="shared" si="72"/>
        <v>0</v>
      </c>
      <c r="K401" s="278">
        <f t="shared" si="72"/>
        <v>0</v>
      </c>
      <c r="L401" s="278">
        <f t="shared" si="72"/>
        <v>0</v>
      </c>
      <c r="M401" s="278">
        <f t="shared" si="69"/>
        <v>459266</v>
      </c>
      <c r="N401" s="284">
        <f t="shared" si="72"/>
        <v>0</v>
      </c>
    </row>
    <row r="402" spans="1:14" customFormat="1" ht="25.5" customHeight="1">
      <c r="A402" s="89">
        <v>911</v>
      </c>
      <c r="B402" s="86" t="s">
        <v>518</v>
      </c>
      <c r="C402" s="280"/>
      <c r="D402" s="280"/>
      <c r="E402" s="280"/>
      <c r="F402" s="280"/>
      <c r="G402" s="280">
        <v>459266</v>
      </c>
      <c r="H402" s="280"/>
      <c r="I402" s="280"/>
      <c r="J402" s="280"/>
      <c r="K402" s="280"/>
      <c r="L402" s="280"/>
      <c r="M402" s="281">
        <f t="shared" si="69"/>
        <v>459266</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1544450</v>
      </c>
      <c r="H410" s="278">
        <f t="shared" si="73"/>
        <v>0</v>
      </c>
      <c r="I410" s="278">
        <f t="shared" si="73"/>
        <v>0</v>
      </c>
      <c r="J410" s="278">
        <f t="shared" si="73"/>
        <v>0</v>
      </c>
      <c r="K410" s="278">
        <f t="shared" si="73"/>
        <v>0</v>
      </c>
      <c r="L410" s="278">
        <f t="shared" si="73"/>
        <v>0</v>
      </c>
      <c r="M410" s="278">
        <f t="shared" si="69"/>
        <v>1544450</v>
      </c>
      <c r="N410" s="284">
        <f t="shared" si="73"/>
        <v>0</v>
      </c>
    </row>
    <row r="411" spans="1:14" customFormat="1" ht="25.5" customHeight="1">
      <c r="A411" s="89">
        <v>921</v>
      </c>
      <c r="B411" s="86" t="s">
        <v>527</v>
      </c>
      <c r="C411" s="280"/>
      <c r="D411" s="280"/>
      <c r="E411" s="280"/>
      <c r="F411" s="280"/>
      <c r="G411" s="280">
        <v>1544450</v>
      </c>
      <c r="H411" s="280"/>
      <c r="I411" s="280"/>
      <c r="J411" s="280"/>
      <c r="K411" s="280"/>
      <c r="L411" s="280"/>
      <c r="M411" s="281">
        <f t="shared" si="69"/>
        <v>1544450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500000</v>
      </c>
      <c r="H430" s="278">
        <f t="shared" si="78"/>
        <v>0</v>
      </c>
      <c r="I430" s="278">
        <f t="shared" si="78"/>
        <v>0</v>
      </c>
      <c r="J430" s="278">
        <f t="shared" si="78"/>
        <v>0</v>
      </c>
      <c r="K430" s="278">
        <f t="shared" si="78"/>
        <v>0</v>
      </c>
      <c r="L430" s="278">
        <f t="shared" si="78"/>
        <v>0</v>
      </c>
      <c r="M430" s="278">
        <f t="shared" si="69"/>
        <v>500000</v>
      </c>
      <c r="N430" s="284">
        <f t="shared" si="78"/>
        <v>0</v>
      </c>
    </row>
    <row r="431" spans="1:14" customFormat="1" ht="25.5" customHeight="1">
      <c r="A431" s="89">
        <v>991</v>
      </c>
      <c r="B431" s="86" t="s">
        <v>547</v>
      </c>
      <c r="C431" s="280"/>
      <c r="D431" s="280"/>
      <c r="E431" s="280"/>
      <c r="F431" s="280"/>
      <c r="G431" s="280">
        <v>500000</v>
      </c>
      <c r="H431" s="280"/>
      <c r="I431" s="280"/>
      <c r="J431" s="280"/>
      <c r="K431" s="280"/>
      <c r="L431" s="280"/>
      <c r="M431" s="281">
        <f t="shared" si="69"/>
        <v>500000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0</v>
      </c>
      <c r="D433" s="295">
        <f>D6+D43+D108+D193+D253+D312+D334+D382+D400</f>
        <v>0</v>
      </c>
      <c r="E433" s="295">
        <f t="shared" ref="E433:M433" si="79">E6+E43+E108+E193+E253+E312+E334+E382+E400</f>
        <v>0</v>
      </c>
      <c r="F433" s="295">
        <f t="shared" si="79"/>
        <v>7036410</v>
      </c>
      <c r="G433" s="295">
        <f t="shared" si="79"/>
        <v>46272501</v>
      </c>
      <c r="H433" s="295">
        <f t="shared" si="79"/>
        <v>847512</v>
      </c>
      <c r="I433" s="295">
        <f t="shared" si="79"/>
        <v>0</v>
      </c>
      <c r="J433" s="295">
        <f t="shared" si="79"/>
        <v>16349254</v>
      </c>
      <c r="K433" s="295">
        <f t="shared" si="79"/>
        <v>0</v>
      </c>
      <c r="L433" s="295">
        <f t="shared" si="79"/>
        <v>0</v>
      </c>
      <c r="M433" s="297">
        <f t="shared" si="79"/>
        <v>70505677</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A52" zoomScale="110" zoomScaleNormal="110" workbookViewId="0">
      <selection activeCell="A6" sqref="A6"/>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53" t="s">
        <v>1089</v>
      </c>
      <c r="B1" s="454"/>
      <c r="C1" s="454"/>
      <c r="D1" s="454"/>
      <c r="E1" s="454"/>
      <c r="F1" s="454"/>
      <c r="G1" s="454"/>
      <c r="H1" s="454"/>
      <c r="I1" s="454"/>
      <c r="J1" s="454"/>
      <c r="K1" s="454"/>
      <c r="L1" s="454"/>
    </row>
    <row r="2" spans="1:12" ht="27.75" customHeight="1">
      <c r="A2" s="455" t="str">
        <f>'ESTIMACIÓN DE INGRESOS'!A2:C2</f>
        <v>Nombre del Municipio: Cabo Corrientes</v>
      </c>
      <c r="B2" s="456"/>
      <c r="C2" s="456"/>
      <c r="D2" s="456"/>
      <c r="E2" s="456"/>
      <c r="F2" s="456"/>
      <c r="G2" s="456"/>
      <c r="H2" s="456"/>
      <c r="I2" s="456"/>
      <c r="J2" s="456"/>
      <c r="K2" s="456"/>
      <c r="L2" s="456"/>
    </row>
    <row r="3" spans="1:12" ht="17.25" customHeight="1">
      <c r="A3" s="460" t="s">
        <v>5</v>
      </c>
      <c r="B3" s="460"/>
      <c r="C3" s="460"/>
      <c r="D3" s="460"/>
      <c r="E3" s="457" t="s">
        <v>1080</v>
      </c>
      <c r="F3" s="457" t="s">
        <v>1081</v>
      </c>
      <c r="G3" s="458" t="s">
        <v>896</v>
      </c>
      <c r="H3" s="457" t="s">
        <v>897</v>
      </c>
      <c r="I3" s="459" t="s">
        <v>898</v>
      </c>
      <c r="J3" s="457" t="s">
        <v>1079</v>
      </c>
      <c r="K3" s="457" t="s">
        <v>1082</v>
      </c>
      <c r="L3" s="457" t="s">
        <v>1083</v>
      </c>
    </row>
    <row r="4" spans="1:12" ht="10.9" customHeight="1">
      <c r="A4" s="460"/>
      <c r="B4" s="460"/>
      <c r="C4" s="460"/>
      <c r="D4" s="460"/>
      <c r="E4" s="457"/>
      <c r="F4" s="457"/>
      <c r="G4" s="458"/>
      <c r="H4" s="457"/>
      <c r="I4" s="459"/>
      <c r="J4" s="457"/>
      <c r="K4" s="457"/>
      <c r="L4" s="457"/>
    </row>
    <row r="5" spans="1:12" ht="17.45" customHeight="1">
      <c r="A5" s="367" t="s">
        <v>6</v>
      </c>
      <c r="B5" s="368"/>
      <c r="C5" s="368"/>
      <c r="D5" s="368"/>
      <c r="E5" s="368"/>
      <c r="F5" s="368"/>
      <c r="G5" s="368"/>
      <c r="H5" s="367"/>
      <c r="I5" s="369"/>
      <c r="J5" s="45"/>
      <c r="K5" s="45"/>
      <c r="L5" s="359"/>
    </row>
    <row r="6" spans="1:12" ht="17.45" customHeight="1">
      <c r="A6" s="227">
        <v>1</v>
      </c>
      <c r="B6" s="468" t="s">
        <v>7</v>
      </c>
      <c r="C6" s="468"/>
      <c r="D6" s="468"/>
      <c r="E6" s="300">
        <f>SUM(E7:E15)</f>
        <v>1957765</v>
      </c>
      <c r="F6" s="300">
        <f>SUM(F7:F15)</f>
        <v>1945151</v>
      </c>
      <c r="G6" s="370">
        <f>SUM(G7:G15)</f>
        <v>3877042</v>
      </c>
      <c r="H6" s="377">
        <f>SUM(H7:H15)</f>
        <v>3914000</v>
      </c>
      <c r="I6" s="228">
        <f>H6/G6-1</f>
        <v>9.5325250538942363E-3</v>
      </c>
      <c r="J6" s="300">
        <f>SUM(J7:J15)</f>
        <v>3933570</v>
      </c>
      <c r="K6" s="300">
        <f>SUM(K7:K15)</f>
        <v>4720284</v>
      </c>
      <c r="L6" s="360">
        <f>SUM(L7:L15)</f>
        <v>5664341</v>
      </c>
    </row>
    <row r="7" spans="1:12" ht="15" customHeight="1">
      <c r="A7" s="122">
        <v>1.1000000000000001</v>
      </c>
      <c r="B7" s="476" t="s">
        <v>8</v>
      </c>
      <c r="C7" s="476"/>
      <c r="D7" s="476"/>
      <c r="E7" s="301">
        <v>350939</v>
      </c>
      <c r="F7" s="301">
        <v>6604</v>
      </c>
      <c r="G7" s="371">
        <v>10857</v>
      </c>
      <c r="H7" s="378">
        <f>'ESTIMACIÓN DE INGRESOS'!$C$7</f>
        <v>11000</v>
      </c>
      <c r="I7" s="123">
        <f t="shared" ref="I7:I69" si="0">H7/G7-1</f>
        <v>1.3171225937183451E-2</v>
      </c>
      <c r="J7" s="301">
        <f>(H7*0.5%)+H7</f>
        <v>11055</v>
      </c>
      <c r="K7" s="301">
        <v>13266</v>
      </c>
      <c r="L7" s="361">
        <v>15919</v>
      </c>
    </row>
    <row r="8" spans="1:12" ht="15" customHeight="1">
      <c r="A8" s="122">
        <v>1.2</v>
      </c>
      <c r="B8" s="476" t="s">
        <v>9</v>
      </c>
      <c r="C8" s="476"/>
      <c r="D8" s="476"/>
      <c r="E8" s="301">
        <v>1476594</v>
      </c>
      <c r="F8" s="301">
        <v>1876721</v>
      </c>
      <c r="G8" s="371">
        <v>3541836</v>
      </c>
      <c r="H8" s="378">
        <f>'ESTIMACIÓN DE INGRESOS'!$C$9</f>
        <v>3575000</v>
      </c>
      <c r="I8" s="123">
        <f t="shared" si="0"/>
        <v>9.3635052554663645E-3</v>
      </c>
      <c r="J8" s="301">
        <f t="shared" ref="J8:J68" si="1">(H8*0.5%)+H8</f>
        <v>3592875</v>
      </c>
      <c r="K8" s="301">
        <v>4311450</v>
      </c>
      <c r="L8" s="361">
        <v>5173740</v>
      </c>
    </row>
    <row r="9" spans="1:12" ht="15" customHeight="1">
      <c r="A9" s="122">
        <v>1.3</v>
      </c>
      <c r="B9" s="476" t="s">
        <v>10</v>
      </c>
      <c r="C9" s="476"/>
      <c r="D9" s="476"/>
      <c r="E9" s="302"/>
      <c r="F9" s="302"/>
      <c r="G9" s="372"/>
      <c r="H9" s="378">
        <f>'ESTIMACIÓN DE INGRESOS'!C13</f>
        <v>0</v>
      </c>
      <c r="I9" s="123" t="e">
        <f t="shared" si="0"/>
        <v>#DIV/0!</v>
      </c>
      <c r="J9" s="301">
        <f t="shared" si="1"/>
        <v>0</v>
      </c>
      <c r="K9" s="301">
        <f t="shared" ref="K9:K49" si="2">(J9*0.2)+J9</f>
        <v>0</v>
      </c>
      <c r="L9" s="362"/>
    </row>
    <row r="10" spans="1:12" ht="15" customHeight="1">
      <c r="A10" s="122">
        <v>1.4</v>
      </c>
      <c r="B10" s="476" t="s">
        <v>11</v>
      </c>
      <c r="C10" s="476"/>
      <c r="D10" s="476"/>
      <c r="E10" s="302"/>
      <c r="F10" s="302"/>
      <c r="G10" s="372"/>
      <c r="H10" s="378">
        <f>'ESTIMACIÓN DE INGRESOS'!C14</f>
        <v>0</v>
      </c>
      <c r="I10" s="123" t="e">
        <f t="shared" si="0"/>
        <v>#DIV/0!</v>
      </c>
      <c r="J10" s="301">
        <f t="shared" si="1"/>
        <v>0</v>
      </c>
      <c r="K10" s="301">
        <f t="shared" si="2"/>
        <v>0</v>
      </c>
      <c r="L10" s="362"/>
    </row>
    <row r="11" spans="1:12" ht="15" customHeight="1">
      <c r="A11" s="122">
        <v>1.5</v>
      </c>
      <c r="B11" s="476" t="s">
        <v>12</v>
      </c>
      <c r="C11" s="476"/>
      <c r="D11" s="476"/>
      <c r="E11" s="302"/>
      <c r="F11" s="302"/>
      <c r="G11" s="372"/>
      <c r="H11" s="378">
        <f>'ESTIMACIÓN DE INGRESOS'!C15</f>
        <v>0</v>
      </c>
      <c r="I11" s="123" t="e">
        <f t="shared" si="0"/>
        <v>#DIV/0!</v>
      </c>
      <c r="J11" s="301">
        <f t="shared" si="1"/>
        <v>0</v>
      </c>
      <c r="K11" s="301">
        <f t="shared" si="2"/>
        <v>0</v>
      </c>
      <c r="L11" s="362"/>
    </row>
    <row r="12" spans="1:12" ht="15" customHeight="1">
      <c r="A12" s="122">
        <v>1.6</v>
      </c>
      <c r="B12" s="476" t="s">
        <v>13</v>
      </c>
      <c r="C12" s="476"/>
      <c r="D12" s="476"/>
      <c r="E12" s="302"/>
      <c r="F12" s="302"/>
      <c r="G12" s="372"/>
      <c r="H12" s="378">
        <f>'ESTIMACIÓN DE INGRESOS'!C16</f>
        <v>0</v>
      </c>
      <c r="I12" s="123" t="e">
        <f t="shared" si="0"/>
        <v>#DIV/0!</v>
      </c>
      <c r="J12" s="301">
        <f t="shared" si="1"/>
        <v>0</v>
      </c>
      <c r="K12" s="301">
        <f t="shared" si="2"/>
        <v>0</v>
      </c>
      <c r="L12" s="362"/>
    </row>
    <row r="13" spans="1:12" ht="15" customHeight="1">
      <c r="A13" s="122">
        <v>1.7</v>
      </c>
      <c r="B13" s="472" t="s">
        <v>1094</v>
      </c>
      <c r="C13" s="473"/>
      <c r="D13" s="474"/>
      <c r="E13" s="301">
        <v>130232</v>
      </c>
      <c r="F13" s="301">
        <v>61826</v>
      </c>
      <c r="G13" s="371">
        <v>324349</v>
      </c>
      <c r="H13" s="378">
        <f>'ESTIMACIÓN DE INGRESOS'!C17</f>
        <v>328000</v>
      </c>
      <c r="I13" s="123">
        <f t="shared" si="0"/>
        <v>1.1256393576055457E-2</v>
      </c>
      <c r="J13" s="301">
        <f t="shared" si="1"/>
        <v>329640</v>
      </c>
      <c r="K13" s="301">
        <v>395568</v>
      </c>
      <c r="L13" s="361">
        <v>474682</v>
      </c>
    </row>
    <row r="14" spans="1:12" ht="15" customHeight="1">
      <c r="A14" s="122">
        <v>1.8</v>
      </c>
      <c r="B14" s="472" t="s">
        <v>14</v>
      </c>
      <c r="C14" s="473"/>
      <c r="D14" s="474"/>
      <c r="E14" s="301"/>
      <c r="F14" s="301"/>
      <c r="G14" s="371"/>
      <c r="H14" s="378">
        <f>'ESTIMACIÓN DE INGRESOS'!C23</f>
        <v>0</v>
      </c>
      <c r="I14" s="124" t="e">
        <f t="shared" si="0"/>
        <v>#DIV/0!</v>
      </c>
      <c r="J14" s="301">
        <f t="shared" si="1"/>
        <v>0</v>
      </c>
      <c r="K14" s="301">
        <f t="shared" si="2"/>
        <v>0</v>
      </c>
      <c r="L14" s="361"/>
    </row>
    <row r="15" spans="1:12" ht="24.6" customHeight="1">
      <c r="A15" s="122">
        <v>1.9</v>
      </c>
      <c r="B15" s="475" t="s">
        <v>1091</v>
      </c>
      <c r="C15" s="473"/>
      <c r="D15" s="474"/>
      <c r="E15" s="301"/>
      <c r="F15" s="301"/>
      <c r="G15" s="371"/>
      <c r="H15" s="378">
        <f>'ESTIMACIÓN DE INGRESOS'!C24</f>
        <v>0</v>
      </c>
      <c r="I15" s="124" t="e">
        <f t="shared" si="0"/>
        <v>#DIV/0!</v>
      </c>
      <c r="J15" s="301">
        <f t="shared" si="1"/>
        <v>0</v>
      </c>
      <c r="K15" s="301">
        <f t="shared" si="2"/>
        <v>0</v>
      </c>
      <c r="L15" s="361"/>
    </row>
    <row r="16" spans="1:12" ht="17.45" customHeight="1">
      <c r="A16" s="223">
        <v>2</v>
      </c>
      <c r="B16" s="465" t="s">
        <v>15</v>
      </c>
      <c r="C16" s="465"/>
      <c r="D16" s="465"/>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72" t="s">
        <v>853</v>
      </c>
      <c r="C17" s="473"/>
      <c r="D17" s="474"/>
      <c r="E17" s="301"/>
      <c r="F17" s="301"/>
      <c r="G17" s="371"/>
      <c r="H17" s="378">
        <f>'ESTIMACIÓN DE INGRESOS'!C26</f>
        <v>0</v>
      </c>
      <c r="I17" s="123" t="e">
        <f t="shared" si="0"/>
        <v>#DIV/0!</v>
      </c>
      <c r="J17" s="301">
        <f t="shared" si="1"/>
        <v>0</v>
      </c>
      <c r="K17" s="301">
        <f t="shared" si="2"/>
        <v>0</v>
      </c>
      <c r="L17" s="361"/>
    </row>
    <row r="18" spans="1:12" ht="15" customHeight="1">
      <c r="A18" s="122">
        <v>2.2000000000000002</v>
      </c>
      <c r="B18" s="472" t="s">
        <v>854</v>
      </c>
      <c r="C18" s="473"/>
      <c r="D18" s="474"/>
      <c r="E18" s="302"/>
      <c r="F18" s="302"/>
      <c r="G18" s="372"/>
      <c r="H18" s="378">
        <f>'ESTIMACIÓN DE INGRESOS'!C27</f>
        <v>0</v>
      </c>
      <c r="I18" s="123" t="e">
        <f t="shared" si="0"/>
        <v>#DIV/0!</v>
      </c>
      <c r="J18" s="301">
        <f t="shared" si="1"/>
        <v>0</v>
      </c>
      <c r="K18" s="301">
        <f t="shared" si="2"/>
        <v>0</v>
      </c>
      <c r="L18" s="362"/>
    </row>
    <row r="19" spans="1:12" ht="15" customHeight="1">
      <c r="A19" s="122">
        <v>2.2999999999999998</v>
      </c>
      <c r="B19" s="472" t="s">
        <v>855</v>
      </c>
      <c r="C19" s="473"/>
      <c r="D19" s="474"/>
      <c r="E19" s="302"/>
      <c r="F19" s="302"/>
      <c r="G19" s="372"/>
      <c r="H19" s="378">
        <f>'ESTIMACIÓN DE INGRESOS'!C28</f>
        <v>0</v>
      </c>
      <c r="I19" s="123" t="e">
        <f t="shared" si="0"/>
        <v>#DIV/0!</v>
      </c>
      <c r="J19" s="301">
        <f t="shared" si="1"/>
        <v>0</v>
      </c>
      <c r="K19" s="301">
        <f t="shared" si="2"/>
        <v>0</v>
      </c>
      <c r="L19" s="362"/>
    </row>
    <row r="20" spans="1:12" ht="15" customHeight="1">
      <c r="A20" s="122">
        <v>2.4</v>
      </c>
      <c r="B20" s="472" t="s">
        <v>856</v>
      </c>
      <c r="C20" s="473"/>
      <c r="D20" s="474"/>
      <c r="E20" s="301"/>
      <c r="F20" s="301"/>
      <c r="G20" s="371"/>
      <c r="H20" s="378">
        <f>'ESTIMACIÓN DE INGRESOS'!C29</f>
        <v>0</v>
      </c>
      <c r="I20" s="123" t="e">
        <f t="shared" si="0"/>
        <v>#DIV/0!</v>
      </c>
      <c r="J20" s="301">
        <f t="shared" si="1"/>
        <v>0</v>
      </c>
      <c r="K20" s="301">
        <f t="shared" si="2"/>
        <v>0</v>
      </c>
      <c r="L20" s="361"/>
    </row>
    <row r="21" spans="1:12" ht="15" customHeight="1">
      <c r="A21" s="122">
        <v>2.5</v>
      </c>
      <c r="B21" s="472" t="s">
        <v>1092</v>
      </c>
      <c r="C21" s="473"/>
      <c r="D21" s="474"/>
      <c r="E21" s="301"/>
      <c r="F21" s="301"/>
      <c r="G21" s="371"/>
      <c r="H21" s="378">
        <f>'ESTIMACIÓN DE INGRESOS'!C30</f>
        <v>0</v>
      </c>
      <c r="I21" s="123" t="e">
        <f t="shared" si="0"/>
        <v>#DIV/0!</v>
      </c>
      <c r="J21" s="301">
        <f t="shared" si="1"/>
        <v>0</v>
      </c>
      <c r="K21" s="301">
        <f t="shared" si="2"/>
        <v>0</v>
      </c>
      <c r="L21" s="361"/>
    </row>
    <row r="22" spans="1:12" ht="16.899999999999999" customHeight="1">
      <c r="A22" s="223">
        <v>3</v>
      </c>
      <c r="B22" s="465" t="s">
        <v>16</v>
      </c>
      <c r="C22" s="465"/>
      <c r="D22" s="465"/>
      <c r="E22" s="303">
        <f>SUM(E23:E24)</f>
        <v>164400</v>
      </c>
      <c r="F22" s="303">
        <f>SUM(F23:F24)</f>
        <v>266463</v>
      </c>
      <c r="G22" s="373">
        <f>SUM(G23:G24)</f>
        <v>0</v>
      </c>
      <c r="H22" s="379">
        <f>SUM(H23:H24)</f>
        <v>0</v>
      </c>
      <c r="I22" s="225" t="e">
        <f t="shared" si="0"/>
        <v>#DIV/0!</v>
      </c>
      <c r="J22" s="303">
        <f>SUM(J23:J24)</f>
        <v>0</v>
      </c>
      <c r="K22" s="303">
        <f>SUM(K23:K24)</f>
        <v>0</v>
      </c>
      <c r="L22" s="363">
        <f>SUM(L23:L24)</f>
        <v>0</v>
      </c>
    </row>
    <row r="23" spans="1:12" ht="15" customHeight="1">
      <c r="A23" s="122">
        <v>3.1</v>
      </c>
      <c r="B23" s="476" t="s">
        <v>17</v>
      </c>
      <c r="C23" s="476"/>
      <c r="D23" s="476"/>
      <c r="E23" s="302">
        <v>164400</v>
      </c>
      <c r="F23" s="302">
        <v>266463</v>
      </c>
      <c r="G23" s="372"/>
      <c r="H23" s="378">
        <f>'ESTIMACIÓN DE INGRESOS'!C32</f>
        <v>0</v>
      </c>
      <c r="I23" s="124" t="e">
        <f t="shared" si="0"/>
        <v>#DIV/0!</v>
      </c>
      <c r="J23" s="301">
        <f t="shared" si="1"/>
        <v>0</v>
      </c>
      <c r="K23" s="301">
        <f t="shared" si="2"/>
        <v>0</v>
      </c>
      <c r="L23" s="362"/>
    </row>
    <row r="24" spans="1:12" ht="22.9" customHeight="1">
      <c r="A24" s="122">
        <v>3.9</v>
      </c>
      <c r="B24" s="477" t="s">
        <v>1093</v>
      </c>
      <c r="C24" s="476"/>
      <c r="D24" s="476"/>
      <c r="E24" s="302"/>
      <c r="F24" s="302"/>
      <c r="G24" s="372"/>
      <c r="H24" s="378">
        <f>'ESTIMACIÓN DE INGRESOS'!C33</f>
        <v>0</v>
      </c>
      <c r="I24" s="124" t="e">
        <f t="shared" si="0"/>
        <v>#DIV/0!</v>
      </c>
      <c r="J24" s="301">
        <f t="shared" si="1"/>
        <v>0</v>
      </c>
      <c r="K24" s="301">
        <f t="shared" si="2"/>
        <v>0</v>
      </c>
      <c r="L24" s="362"/>
    </row>
    <row r="25" spans="1:12" ht="19.149999999999999" customHeight="1">
      <c r="A25" s="223">
        <v>4</v>
      </c>
      <c r="B25" s="465" t="s">
        <v>18</v>
      </c>
      <c r="C25" s="465"/>
      <c r="D25" s="465"/>
      <c r="E25" s="303">
        <f>SUM(E26:E31)</f>
        <v>2722747</v>
      </c>
      <c r="F25" s="303">
        <f>SUM(F26:F31)</f>
        <v>2526288</v>
      </c>
      <c r="G25" s="373">
        <f>SUM(G26:G31)</f>
        <v>2859335</v>
      </c>
      <c r="H25" s="379">
        <f>SUM(H26:H31)</f>
        <v>2933410</v>
      </c>
      <c r="I25" s="225">
        <f t="shared" si="0"/>
        <v>2.590637333505863E-2</v>
      </c>
      <c r="J25" s="303">
        <f>SUM(J26:J31)</f>
        <v>2948077.05</v>
      </c>
      <c r="K25" s="303">
        <f>SUM(K26:K31)</f>
        <v>3537692</v>
      </c>
      <c r="L25" s="363">
        <f>SUM(L26:L31)</f>
        <v>4245229</v>
      </c>
    </row>
    <row r="26" spans="1:12">
      <c r="A26" s="122">
        <v>4.0999999999999996</v>
      </c>
      <c r="B26" s="461" t="s">
        <v>848</v>
      </c>
      <c r="C26" s="461"/>
      <c r="D26" s="461"/>
      <c r="E26" s="301">
        <v>164000</v>
      </c>
      <c r="F26" s="301">
        <v>171741</v>
      </c>
      <c r="G26" s="371">
        <v>151606</v>
      </c>
      <c r="H26" s="378">
        <f>'ESTIMACIÓN DE INGRESOS'!$C$35</f>
        <v>162000</v>
      </c>
      <c r="I26" s="123">
        <f t="shared" si="0"/>
        <v>6.855929184860754E-2</v>
      </c>
      <c r="J26" s="301">
        <f t="shared" si="1"/>
        <v>162810</v>
      </c>
      <c r="K26" s="301">
        <v>195372</v>
      </c>
      <c r="L26" s="361">
        <v>234446</v>
      </c>
    </row>
    <row r="27" spans="1:12" ht="15" customHeight="1">
      <c r="A27" s="122">
        <v>4.2</v>
      </c>
      <c r="B27" s="461" t="s">
        <v>1096</v>
      </c>
      <c r="C27" s="461"/>
      <c r="D27" s="461"/>
      <c r="E27" s="302"/>
      <c r="F27" s="302"/>
      <c r="G27" s="372"/>
      <c r="H27" s="380">
        <f>'ESTIMACIÓN DE INGRESOS'!C40</f>
        <v>0</v>
      </c>
      <c r="I27" s="298" t="e">
        <f t="shared" si="0"/>
        <v>#DIV/0!</v>
      </c>
      <c r="J27" s="301">
        <f t="shared" si="1"/>
        <v>0</v>
      </c>
      <c r="K27" s="301">
        <f t="shared" si="2"/>
        <v>0</v>
      </c>
      <c r="L27" s="362"/>
    </row>
    <row r="28" spans="1:12" ht="15" customHeight="1">
      <c r="A28" s="122">
        <v>4.3</v>
      </c>
      <c r="B28" s="469" t="s">
        <v>849</v>
      </c>
      <c r="C28" s="470"/>
      <c r="D28" s="471"/>
      <c r="E28" s="302">
        <v>2442383</v>
      </c>
      <c r="F28" s="302">
        <v>2280083</v>
      </c>
      <c r="G28" s="372">
        <v>2573070</v>
      </c>
      <c r="H28" s="378">
        <f>'ESTIMACIÓN DE INGRESOS'!C41</f>
        <v>2636710</v>
      </c>
      <c r="I28" s="123">
        <f t="shared" si="0"/>
        <v>2.4733100926131124E-2</v>
      </c>
      <c r="J28" s="301">
        <f t="shared" si="1"/>
        <v>2649893.5499999998</v>
      </c>
      <c r="K28" s="301">
        <v>3179872</v>
      </c>
      <c r="L28" s="362">
        <v>3815846</v>
      </c>
    </row>
    <row r="29" spans="1:12" ht="15" customHeight="1">
      <c r="A29" s="122">
        <v>4.4000000000000004</v>
      </c>
      <c r="B29" s="461" t="s">
        <v>850</v>
      </c>
      <c r="C29" s="461"/>
      <c r="D29" s="461"/>
      <c r="E29" s="301">
        <v>116364</v>
      </c>
      <c r="F29" s="301">
        <v>74464</v>
      </c>
      <c r="G29" s="371">
        <v>134659</v>
      </c>
      <c r="H29" s="378">
        <f>'ESTIMACIÓN DE INGRESOS'!C56</f>
        <v>0</v>
      </c>
      <c r="I29" s="123">
        <f t="shared" si="0"/>
        <v>-1</v>
      </c>
      <c r="J29" s="301">
        <f t="shared" si="1"/>
        <v>0</v>
      </c>
      <c r="K29" s="301">
        <f t="shared" si="2"/>
        <v>0</v>
      </c>
      <c r="L29" s="361"/>
    </row>
    <row r="30" spans="1:12" ht="15" customHeight="1">
      <c r="A30" s="122">
        <v>4.5</v>
      </c>
      <c r="B30" s="461" t="s">
        <v>1007</v>
      </c>
      <c r="C30" s="461"/>
      <c r="D30" s="461"/>
      <c r="E30" s="301"/>
      <c r="F30" s="301"/>
      <c r="G30" s="371"/>
      <c r="H30" s="378">
        <f>'ESTIMACIÓN DE INGRESOS'!C57</f>
        <v>134700</v>
      </c>
      <c r="I30" s="123" t="e">
        <f t="shared" si="0"/>
        <v>#DIV/0!</v>
      </c>
      <c r="J30" s="301">
        <f t="shared" si="1"/>
        <v>135373.5</v>
      </c>
      <c r="K30" s="301">
        <v>162448</v>
      </c>
      <c r="L30" s="361">
        <v>194937</v>
      </c>
    </row>
    <row r="31" spans="1:12" ht="22.9" customHeight="1">
      <c r="A31" s="122">
        <v>4.9000000000000004</v>
      </c>
      <c r="B31" s="461" t="s">
        <v>1095</v>
      </c>
      <c r="C31" s="461"/>
      <c r="D31" s="461"/>
      <c r="E31" s="301"/>
      <c r="F31" s="301"/>
      <c r="G31" s="371"/>
      <c r="H31" s="378">
        <f>'ESTIMACIÓN DE INGRESOS'!$C$62</f>
        <v>0</v>
      </c>
      <c r="I31" s="123" t="e">
        <f t="shared" si="0"/>
        <v>#DIV/0!</v>
      </c>
      <c r="J31" s="301">
        <f t="shared" si="1"/>
        <v>0</v>
      </c>
      <c r="K31" s="301">
        <f t="shared" si="2"/>
        <v>0</v>
      </c>
      <c r="L31" s="361"/>
    </row>
    <row r="32" spans="1:12" ht="19.899999999999999" customHeight="1">
      <c r="A32" s="223">
        <v>5</v>
      </c>
      <c r="B32" s="465" t="s">
        <v>19</v>
      </c>
      <c r="C32" s="465"/>
      <c r="D32" s="465"/>
      <c r="E32" s="303">
        <f>SUM(E33:E50)</f>
        <v>653709</v>
      </c>
      <c r="F32" s="303">
        <f>SUM(F33:F50)</f>
        <v>237000</v>
      </c>
      <c r="G32" s="373">
        <f>SUM(G33:G35)</f>
        <v>189248</v>
      </c>
      <c r="H32" s="379">
        <f>SUM(H33:H35)</f>
        <v>189000</v>
      </c>
      <c r="I32" s="225">
        <f t="shared" si="0"/>
        <v>-1.3104497801825765E-3</v>
      </c>
      <c r="J32" s="303">
        <f>SUM(J33:J35)</f>
        <v>189945</v>
      </c>
      <c r="K32" s="303">
        <f>SUM(K33:K35)</f>
        <v>227934</v>
      </c>
      <c r="L32" s="363">
        <f>SUM(L33:L35)</f>
        <v>273521</v>
      </c>
    </row>
    <row r="33" spans="1:12" ht="15" customHeight="1">
      <c r="A33" s="122">
        <v>5.0999999999999996</v>
      </c>
      <c r="B33" s="461" t="s">
        <v>894</v>
      </c>
      <c r="C33" s="461"/>
      <c r="D33" s="461"/>
      <c r="E33" s="301">
        <v>158849</v>
      </c>
      <c r="F33" s="301">
        <v>160594</v>
      </c>
      <c r="G33" s="371">
        <v>189248</v>
      </c>
      <c r="H33" s="378">
        <f>'ESTIMACIÓN DE INGRESOS'!$C$64</f>
        <v>189000</v>
      </c>
      <c r="I33" s="123">
        <f t="shared" si="0"/>
        <v>-1.3104497801825765E-3</v>
      </c>
      <c r="J33" s="301">
        <f t="shared" si="1"/>
        <v>189945</v>
      </c>
      <c r="K33" s="301">
        <v>227934</v>
      </c>
      <c r="L33" s="361">
        <v>273521</v>
      </c>
    </row>
    <row r="34" spans="1:12" ht="15" customHeight="1">
      <c r="A34" s="122">
        <v>5.2</v>
      </c>
      <c r="B34" s="461" t="s">
        <v>1008</v>
      </c>
      <c r="C34" s="461"/>
      <c r="D34" s="461"/>
      <c r="E34" s="301"/>
      <c r="F34" s="301"/>
      <c r="G34" s="371"/>
      <c r="H34" s="380">
        <f>'ESTIMACIÓN DE INGRESOS'!C68</f>
        <v>0</v>
      </c>
      <c r="I34" s="298" t="e">
        <f t="shared" si="0"/>
        <v>#DIV/0!</v>
      </c>
      <c r="J34" s="301">
        <f t="shared" si="1"/>
        <v>0</v>
      </c>
      <c r="K34" s="301">
        <v>0</v>
      </c>
      <c r="L34" s="361"/>
    </row>
    <row r="35" spans="1:12" ht="21" customHeight="1">
      <c r="A35" s="122">
        <v>5.9</v>
      </c>
      <c r="B35" s="461" t="s">
        <v>1009</v>
      </c>
      <c r="C35" s="461"/>
      <c r="D35" s="461"/>
      <c r="E35" s="410"/>
      <c r="F35" s="410"/>
      <c r="G35" s="371"/>
      <c r="H35" s="378">
        <f>'ESTIMACIÓN DE INGRESOS'!C69</f>
        <v>0</v>
      </c>
      <c r="I35" s="123" t="e">
        <f t="shared" si="0"/>
        <v>#DIV/0!</v>
      </c>
      <c r="J35" s="301">
        <f t="shared" si="1"/>
        <v>0</v>
      </c>
      <c r="K35" s="301">
        <f t="shared" si="2"/>
        <v>0</v>
      </c>
      <c r="L35" s="361"/>
    </row>
    <row r="36" spans="1:12" ht="21" customHeight="1">
      <c r="A36" s="223">
        <v>6</v>
      </c>
      <c r="B36" s="465" t="s">
        <v>20</v>
      </c>
      <c r="C36" s="465"/>
      <c r="D36" s="465"/>
      <c r="E36" s="303">
        <f>SUM(E37:E40)</f>
        <v>400</v>
      </c>
      <c r="F36" s="303">
        <f>SUM(F37:F40)</f>
        <v>400</v>
      </c>
      <c r="G36" s="373">
        <f>SUM(G37:G40)</f>
        <v>0</v>
      </c>
      <c r="H36" s="379">
        <f>SUM(H37:H40)</f>
        <v>0</v>
      </c>
      <c r="I36" s="225" t="e">
        <f t="shared" si="0"/>
        <v>#DIV/0!</v>
      </c>
      <c r="J36" s="303">
        <f>SUM(J37:J40)</f>
        <v>0</v>
      </c>
      <c r="K36" s="303">
        <f>SUM(K37:K40)</f>
        <v>0</v>
      </c>
      <c r="L36" s="363">
        <f>SUM(L37:L40)</f>
        <v>0</v>
      </c>
    </row>
    <row r="37" spans="1:12" ht="15" customHeight="1">
      <c r="A37" s="122">
        <v>6.1</v>
      </c>
      <c r="B37" s="461" t="s">
        <v>895</v>
      </c>
      <c r="C37" s="461"/>
      <c r="D37" s="461"/>
      <c r="E37" s="301">
        <v>400</v>
      </c>
      <c r="F37" s="301">
        <v>400</v>
      </c>
      <c r="G37" s="371"/>
      <c r="H37" s="378">
        <f>'ESTIMACIÓN DE INGRESOS'!$C$71</f>
        <v>0</v>
      </c>
      <c r="I37" s="123" t="e">
        <f t="shared" si="0"/>
        <v>#DIV/0!</v>
      </c>
      <c r="J37" s="301">
        <f t="shared" si="1"/>
        <v>0</v>
      </c>
      <c r="K37" s="301">
        <f t="shared" si="2"/>
        <v>0</v>
      </c>
      <c r="L37" s="361"/>
    </row>
    <row r="38" spans="1:12" ht="15" customHeight="1">
      <c r="A38" s="122">
        <v>6.2</v>
      </c>
      <c r="B38" s="461" t="s">
        <v>1010</v>
      </c>
      <c r="C38" s="461"/>
      <c r="D38" s="461"/>
      <c r="E38" s="301"/>
      <c r="F38" s="301"/>
      <c r="G38" s="371"/>
      <c r="H38" s="378">
        <f>'ESTIMACIÓN DE INGRESOS'!C79</f>
        <v>0</v>
      </c>
      <c r="I38" s="123" t="e">
        <f t="shared" si="0"/>
        <v>#DIV/0!</v>
      </c>
      <c r="J38" s="301">
        <f t="shared" si="1"/>
        <v>0</v>
      </c>
      <c r="K38" s="301">
        <f t="shared" si="2"/>
        <v>0</v>
      </c>
      <c r="L38" s="361"/>
    </row>
    <row r="39" spans="1:12" ht="15" customHeight="1">
      <c r="A39" s="122">
        <v>6.3</v>
      </c>
      <c r="B39" s="461" t="s">
        <v>1011</v>
      </c>
      <c r="C39" s="461"/>
      <c r="D39" s="461"/>
      <c r="E39" s="301"/>
      <c r="F39" s="301"/>
      <c r="G39" s="371"/>
      <c r="H39" s="378">
        <f>'ESTIMACIÓN DE INGRESOS'!C80</f>
        <v>0</v>
      </c>
      <c r="I39" s="123" t="e">
        <f t="shared" si="0"/>
        <v>#DIV/0!</v>
      </c>
      <c r="J39" s="301">
        <f t="shared" si="1"/>
        <v>0</v>
      </c>
      <c r="K39" s="301">
        <f t="shared" si="2"/>
        <v>0</v>
      </c>
      <c r="L39" s="361"/>
    </row>
    <row r="40" spans="1:12" ht="21.6" customHeight="1">
      <c r="A40" s="122">
        <v>6.9</v>
      </c>
      <c r="B40" s="461" t="s">
        <v>1014</v>
      </c>
      <c r="C40" s="461"/>
      <c r="D40" s="461"/>
      <c r="E40" s="301"/>
      <c r="F40" s="301"/>
      <c r="G40" s="371"/>
      <c r="H40" s="378">
        <f>'ESTIMACIÓN DE INGRESOS'!C81</f>
        <v>0</v>
      </c>
      <c r="I40" s="123" t="e">
        <f t="shared" si="0"/>
        <v>#DIV/0!</v>
      </c>
      <c r="J40" s="301">
        <f t="shared" si="1"/>
        <v>0</v>
      </c>
      <c r="K40" s="301">
        <f t="shared" si="2"/>
        <v>0</v>
      </c>
      <c r="L40" s="361"/>
    </row>
    <row r="41" spans="1:12" ht="20.45" customHeight="1">
      <c r="A41" s="223">
        <v>7</v>
      </c>
      <c r="B41" s="465" t="s">
        <v>1015</v>
      </c>
      <c r="C41" s="465"/>
      <c r="D41" s="465"/>
      <c r="E41" s="303">
        <f>SUM(E42:E50)</f>
        <v>247030</v>
      </c>
      <c r="F41" s="303">
        <f>SUM(F42:F50)</f>
        <v>37803</v>
      </c>
      <c r="G41" s="373">
        <f>SUM(G42:G50)</f>
        <v>0</v>
      </c>
      <c r="H41" s="379">
        <f>SUM(H42:H50)</f>
        <v>0</v>
      </c>
      <c r="I41" s="225" t="e">
        <f t="shared" si="0"/>
        <v>#DIV/0!</v>
      </c>
      <c r="J41" s="303">
        <f>SUM(J42:J50)</f>
        <v>0</v>
      </c>
      <c r="K41" s="303">
        <f>SUM(K42:K50)</f>
        <v>0</v>
      </c>
      <c r="L41" s="363">
        <f>SUM(L42:L50)</f>
        <v>0</v>
      </c>
    </row>
    <row r="42" spans="1:12" ht="21.6" customHeight="1">
      <c r="A42" s="122">
        <v>7.1</v>
      </c>
      <c r="B42" s="461" t="s">
        <v>1016</v>
      </c>
      <c r="C42" s="461"/>
      <c r="D42" s="461"/>
      <c r="E42" s="305"/>
      <c r="F42" s="305"/>
      <c r="G42" s="374"/>
      <c r="H42" s="378">
        <f>'ESTIMACIÓN DE INGRESOS'!C83</f>
        <v>0</v>
      </c>
      <c r="I42" s="123" t="e">
        <f t="shared" si="0"/>
        <v>#DIV/0!</v>
      </c>
      <c r="J42" s="301">
        <f t="shared" si="1"/>
        <v>0</v>
      </c>
      <c r="K42" s="301">
        <f t="shared" si="2"/>
        <v>0</v>
      </c>
      <c r="L42" s="364"/>
    </row>
    <row r="43" spans="1:12" ht="22.15" customHeight="1">
      <c r="A43" s="122">
        <v>7.2</v>
      </c>
      <c r="B43" s="461" t="s">
        <v>1017</v>
      </c>
      <c r="C43" s="461"/>
      <c r="D43" s="461"/>
      <c r="E43" s="305"/>
      <c r="F43" s="305"/>
      <c r="G43" s="374"/>
      <c r="H43" s="378">
        <f>'ESTIMACIÓN DE INGRESOS'!C84</f>
        <v>0</v>
      </c>
      <c r="I43" s="123" t="e">
        <f t="shared" si="0"/>
        <v>#DIV/0!</v>
      </c>
      <c r="J43" s="301">
        <f t="shared" si="1"/>
        <v>0</v>
      </c>
      <c r="K43" s="301">
        <f t="shared" si="2"/>
        <v>0</v>
      </c>
      <c r="L43" s="364"/>
    </row>
    <row r="44" spans="1:12" ht="24.6" customHeight="1">
      <c r="A44" s="122">
        <v>7.3</v>
      </c>
      <c r="B44" s="461" t="s">
        <v>1018</v>
      </c>
      <c r="C44" s="461"/>
      <c r="D44" s="461"/>
      <c r="E44" s="305"/>
      <c r="F44" s="305"/>
      <c r="G44" s="374"/>
      <c r="H44" s="378">
        <f>'ESTIMACIÓN DE INGRESOS'!C85</f>
        <v>0</v>
      </c>
      <c r="I44" s="123" t="e">
        <f t="shared" si="0"/>
        <v>#DIV/0!</v>
      </c>
      <c r="J44" s="301">
        <f t="shared" si="1"/>
        <v>0</v>
      </c>
      <c r="K44" s="301">
        <f t="shared" si="2"/>
        <v>0</v>
      </c>
      <c r="L44" s="364"/>
    </row>
    <row r="45" spans="1:12" ht="26.45" customHeight="1">
      <c r="A45" s="122">
        <v>7.4</v>
      </c>
      <c r="B45" s="461" t="s">
        <v>1019</v>
      </c>
      <c r="C45" s="461"/>
      <c r="D45" s="461"/>
      <c r="E45" s="305"/>
      <c r="F45" s="305"/>
      <c r="G45" s="374"/>
      <c r="H45" s="378">
        <f>'ESTIMACIÓN DE INGRESOS'!C86</f>
        <v>0</v>
      </c>
      <c r="I45" s="123" t="e">
        <f t="shared" si="0"/>
        <v>#DIV/0!</v>
      </c>
      <c r="J45" s="301">
        <f t="shared" si="1"/>
        <v>0</v>
      </c>
      <c r="K45" s="301">
        <f t="shared" si="2"/>
        <v>0</v>
      </c>
      <c r="L45" s="364"/>
    </row>
    <row r="46" spans="1:12" ht="26.45" customHeight="1">
      <c r="A46" s="122">
        <v>7.5</v>
      </c>
      <c r="B46" s="461" t="s">
        <v>1020</v>
      </c>
      <c r="C46" s="461"/>
      <c r="D46" s="461"/>
      <c r="E46" s="305"/>
      <c r="F46" s="305"/>
      <c r="G46" s="374"/>
      <c r="H46" s="378">
        <f>'ESTIMACIÓN DE INGRESOS'!C87</f>
        <v>0</v>
      </c>
      <c r="I46" s="123" t="e">
        <f t="shared" si="0"/>
        <v>#DIV/0!</v>
      </c>
      <c r="J46" s="301">
        <f t="shared" si="1"/>
        <v>0</v>
      </c>
      <c r="K46" s="301">
        <f t="shared" si="2"/>
        <v>0</v>
      </c>
      <c r="L46" s="364"/>
    </row>
    <row r="47" spans="1:12" ht="26.45" customHeight="1">
      <c r="A47" s="122">
        <v>7.6</v>
      </c>
      <c r="B47" s="461" t="s">
        <v>1021</v>
      </c>
      <c r="C47" s="461"/>
      <c r="D47" s="461"/>
      <c r="E47" s="305"/>
      <c r="F47" s="305"/>
      <c r="G47" s="374"/>
      <c r="H47" s="378">
        <f>'ESTIMACIÓN DE INGRESOS'!C88</f>
        <v>0</v>
      </c>
      <c r="I47" s="123" t="e">
        <f t="shared" si="0"/>
        <v>#DIV/0!</v>
      </c>
      <c r="J47" s="301">
        <f t="shared" si="1"/>
        <v>0</v>
      </c>
      <c r="K47" s="301">
        <f t="shared" si="2"/>
        <v>0</v>
      </c>
      <c r="L47" s="364"/>
    </row>
    <row r="48" spans="1:12" ht="26.45" customHeight="1">
      <c r="A48" s="122">
        <v>7.7</v>
      </c>
      <c r="B48" s="461" t="s">
        <v>1022</v>
      </c>
      <c r="C48" s="461"/>
      <c r="D48" s="461"/>
      <c r="E48" s="305"/>
      <c r="F48" s="305"/>
      <c r="G48" s="374"/>
      <c r="H48" s="378">
        <f>'ESTIMACIÓN DE INGRESOS'!C89</f>
        <v>0</v>
      </c>
      <c r="I48" s="123" t="e">
        <f t="shared" si="0"/>
        <v>#DIV/0!</v>
      </c>
      <c r="J48" s="301">
        <f t="shared" si="1"/>
        <v>0</v>
      </c>
      <c r="K48" s="301">
        <f t="shared" si="2"/>
        <v>0</v>
      </c>
      <c r="L48" s="364"/>
    </row>
    <row r="49" spans="1:12" ht="26.45" customHeight="1">
      <c r="A49" s="122">
        <v>7.8</v>
      </c>
      <c r="B49" s="461" t="s">
        <v>1023</v>
      </c>
      <c r="C49" s="461"/>
      <c r="D49" s="461"/>
      <c r="E49" s="305"/>
      <c r="F49" s="305"/>
      <c r="G49" s="374"/>
      <c r="H49" s="378">
        <f>'ESTIMACIÓN DE INGRESOS'!C90</f>
        <v>0</v>
      </c>
      <c r="I49" s="123" t="e">
        <f t="shared" si="0"/>
        <v>#DIV/0!</v>
      </c>
      <c r="J49" s="301">
        <f t="shared" si="1"/>
        <v>0</v>
      </c>
      <c r="K49" s="301">
        <f t="shared" si="2"/>
        <v>0</v>
      </c>
      <c r="L49" s="364"/>
    </row>
    <row r="50" spans="1:12" ht="20.45" customHeight="1">
      <c r="A50" s="122">
        <v>7.9</v>
      </c>
      <c r="B50" s="461" t="s">
        <v>1024</v>
      </c>
      <c r="C50" s="461"/>
      <c r="D50" s="461"/>
      <c r="E50" s="301">
        <v>247030</v>
      </c>
      <c r="F50" s="301">
        <v>37803</v>
      </c>
      <c r="G50" s="374"/>
      <c r="H50" s="378">
        <f>'ESTIMACIÓN DE INGRESOS'!C91</f>
        <v>0</v>
      </c>
      <c r="I50" s="123" t="e">
        <f t="shared" si="0"/>
        <v>#DIV/0!</v>
      </c>
      <c r="J50" s="301">
        <f t="shared" si="1"/>
        <v>0</v>
      </c>
      <c r="K50" s="301">
        <f>(J50*0.2)+J50</f>
        <v>0</v>
      </c>
      <c r="L50" s="364"/>
    </row>
    <row r="51" spans="1:12" ht="24.6" customHeight="1">
      <c r="A51" s="223">
        <v>8</v>
      </c>
      <c r="B51" s="465" t="s">
        <v>1025</v>
      </c>
      <c r="C51" s="465"/>
      <c r="D51" s="465"/>
      <c r="E51" s="303">
        <f>SUM(E52:E56)</f>
        <v>69836634</v>
      </c>
      <c r="F51" s="303">
        <f>SUM(F52:F56)</f>
        <v>61666057</v>
      </c>
      <c r="G51" s="373">
        <f>SUM(G52:G56)</f>
        <v>65606805</v>
      </c>
      <c r="H51" s="379">
        <f>SUM(H52:H56)</f>
        <v>63469267</v>
      </c>
      <c r="I51" s="225">
        <f t="shared" si="0"/>
        <v>-3.2581040945371398E-2</v>
      </c>
      <c r="J51" s="303">
        <f>SUM(J52:J56)</f>
        <v>63786613.334999993</v>
      </c>
      <c r="K51" s="303">
        <f>SUM(K52:K56)</f>
        <v>66273232</v>
      </c>
      <c r="L51" s="363">
        <f>SUM(L52:L56)</f>
        <v>69586893</v>
      </c>
    </row>
    <row r="52" spans="1:12">
      <c r="A52" s="122">
        <v>8.1</v>
      </c>
      <c r="B52" s="461" t="s">
        <v>22</v>
      </c>
      <c r="C52" s="461"/>
      <c r="D52" s="461"/>
      <c r="E52" s="301">
        <v>46877040</v>
      </c>
      <c r="F52" s="301">
        <v>40682413</v>
      </c>
      <c r="G52" s="371">
        <v>45227109</v>
      </c>
      <c r="H52" s="378">
        <f>'ESTIMACIÓN DE INGRESOS'!$C$93</f>
        <v>47120013</v>
      </c>
      <c r="I52" s="123">
        <f t="shared" si="0"/>
        <v>4.1853305282015807E-2</v>
      </c>
      <c r="J52" s="301">
        <f t="shared" si="1"/>
        <v>47355613.064999998</v>
      </c>
      <c r="K52" s="301">
        <v>49634944</v>
      </c>
      <c r="L52" s="361">
        <v>52116691</v>
      </c>
    </row>
    <row r="53" spans="1:12">
      <c r="A53" s="122">
        <v>8.1999999999999993</v>
      </c>
      <c r="B53" s="461" t="s">
        <v>23</v>
      </c>
      <c r="C53" s="461"/>
      <c r="D53" s="461"/>
      <c r="E53" s="301">
        <v>13527017</v>
      </c>
      <c r="F53" s="301">
        <v>14456052</v>
      </c>
      <c r="G53" s="371">
        <v>15688798</v>
      </c>
      <c r="H53" s="378">
        <f>'ESTIMACIÓN DE INGRESOS'!$C$96</f>
        <v>16349254</v>
      </c>
      <c r="I53" s="123">
        <f t="shared" si="0"/>
        <v>4.2097297702475389E-2</v>
      </c>
      <c r="J53" s="301">
        <f t="shared" si="1"/>
        <v>16431000.27</v>
      </c>
      <c r="K53" s="301">
        <v>16638288</v>
      </c>
      <c r="L53" s="361">
        <v>17470202</v>
      </c>
    </row>
    <row r="54" spans="1:12">
      <c r="A54" s="122">
        <v>8.3000000000000007</v>
      </c>
      <c r="B54" s="461" t="s">
        <v>24</v>
      </c>
      <c r="C54" s="461"/>
      <c r="D54" s="461"/>
      <c r="E54" s="301">
        <v>9432577</v>
      </c>
      <c r="F54" s="301">
        <v>6527592</v>
      </c>
      <c r="G54" s="371">
        <v>4690898</v>
      </c>
      <c r="H54" s="378">
        <f>'ESTIMACIÓN DE INGRESOS'!C101</f>
        <v>0</v>
      </c>
      <c r="I54" s="123">
        <f t="shared" si="0"/>
        <v>-1</v>
      </c>
      <c r="J54" s="301">
        <f t="shared" si="1"/>
        <v>0</v>
      </c>
      <c r="K54" s="301">
        <f t="shared" ref="K54:K56" si="3">(J54*0.2)+J54</f>
        <v>0</v>
      </c>
      <c r="L54" s="361"/>
    </row>
    <row r="55" spans="1:12">
      <c r="A55" s="122">
        <v>8.4</v>
      </c>
      <c r="B55" s="461" t="s">
        <v>1026</v>
      </c>
      <c r="C55" s="461"/>
      <c r="D55" s="461"/>
      <c r="E55" s="301"/>
      <c r="F55" s="301"/>
      <c r="G55" s="371"/>
      <c r="H55" s="378">
        <f>'ESTIMACIÓN DE INGRESOS'!C102</f>
        <v>0</v>
      </c>
      <c r="I55" s="123" t="e">
        <f t="shared" si="0"/>
        <v>#DIV/0!</v>
      </c>
      <c r="J55" s="301">
        <f t="shared" si="1"/>
        <v>0</v>
      </c>
      <c r="K55" s="301">
        <f t="shared" si="3"/>
        <v>0</v>
      </c>
      <c r="L55" s="361"/>
    </row>
    <row r="56" spans="1:12">
      <c r="A56" s="122">
        <v>8.5</v>
      </c>
      <c r="B56" s="461" t="s">
        <v>1027</v>
      </c>
      <c r="C56" s="461"/>
      <c r="D56" s="461"/>
      <c r="E56" s="301"/>
      <c r="F56" s="301"/>
      <c r="G56" s="371"/>
      <c r="H56" s="378">
        <f>'ESTIMACIÓN DE INGRESOS'!C103</f>
        <v>0</v>
      </c>
      <c r="I56" s="123" t="e">
        <f t="shared" si="0"/>
        <v>#DIV/0!</v>
      </c>
      <c r="J56" s="301">
        <f t="shared" si="1"/>
        <v>0</v>
      </c>
      <c r="K56" s="301">
        <f t="shared" si="3"/>
        <v>0</v>
      </c>
      <c r="L56" s="361"/>
    </row>
    <row r="57" spans="1:12" ht="24.75" customHeight="1">
      <c r="A57" s="223">
        <v>9</v>
      </c>
      <c r="B57" s="465" t="s">
        <v>1028</v>
      </c>
      <c r="C57" s="465"/>
      <c r="D57" s="465"/>
      <c r="E57" s="303">
        <f>SUM(E58:E64)</f>
        <v>0</v>
      </c>
      <c r="F57" s="303">
        <f>SUM(F58:F64)</f>
        <v>0</v>
      </c>
      <c r="G57" s="373">
        <f>SUM(G58:G64)</f>
        <v>0</v>
      </c>
      <c r="H57" s="379">
        <f>SUM(H58:H64)</f>
        <v>0</v>
      </c>
      <c r="I57" s="225" t="e">
        <f t="shared" si="0"/>
        <v>#DIV/0!</v>
      </c>
      <c r="J57" s="303">
        <f>SUM(J58:J64)</f>
        <v>0</v>
      </c>
      <c r="K57" s="303">
        <f>SUM(K58:K64)</f>
        <v>0</v>
      </c>
      <c r="L57" s="363">
        <f>SUM(L58:L64)</f>
        <v>0</v>
      </c>
    </row>
    <row r="58" spans="1:12">
      <c r="A58" s="122">
        <v>9.1</v>
      </c>
      <c r="B58" s="461" t="s">
        <v>1029</v>
      </c>
      <c r="C58" s="461"/>
      <c r="D58" s="461"/>
      <c r="E58" s="301"/>
      <c r="F58" s="301"/>
      <c r="G58" s="371"/>
      <c r="H58" s="378">
        <f>'ESTIMACIÓN DE INGRESOS'!C105</f>
        <v>0</v>
      </c>
      <c r="I58" s="123" t="e">
        <f t="shared" si="0"/>
        <v>#DIV/0!</v>
      </c>
      <c r="J58" s="301">
        <f t="shared" si="1"/>
        <v>0</v>
      </c>
      <c r="K58" s="301"/>
      <c r="L58" s="361"/>
    </row>
    <row r="59" spans="1:12">
      <c r="A59" s="122">
        <v>9.1999999999999993</v>
      </c>
      <c r="B59" s="461" t="s">
        <v>1030</v>
      </c>
      <c r="C59" s="461"/>
      <c r="D59" s="461"/>
      <c r="E59" s="302"/>
      <c r="F59" s="302"/>
      <c r="G59" s="372"/>
      <c r="H59" s="380">
        <f>'ESTIMACIÓN DE INGRESOS'!C106</f>
        <v>0</v>
      </c>
      <c r="I59" s="298" t="e">
        <f t="shared" si="0"/>
        <v>#DIV/0!</v>
      </c>
      <c r="J59" s="301">
        <f t="shared" si="1"/>
        <v>0</v>
      </c>
      <c r="K59" s="302"/>
      <c r="L59" s="362"/>
    </row>
    <row r="60" spans="1:12">
      <c r="A60" s="122">
        <v>9.3000000000000007</v>
      </c>
      <c r="B60" s="461" t="s">
        <v>1031</v>
      </c>
      <c r="C60" s="461"/>
      <c r="D60" s="461"/>
      <c r="E60" s="302"/>
      <c r="F60" s="302"/>
      <c r="G60" s="372"/>
      <c r="H60" s="378">
        <f>'ESTIMACIÓN DE INGRESOS'!C107</f>
        <v>0</v>
      </c>
      <c r="I60" s="123" t="e">
        <f t="shared" si="0"/>
        <v>#DIV/0!</v>
      </c>
      <c r="J60" s="301">
        <f t="shared" si="1"/>
        <v>0</v>
      </c>
      <c r="K60" s="302"/>
      <c r="L60" s="362"/>
    </row>
    <row r="61" spans="1:12">
      <c r="A61" s="122">
        <v>9.4</v>
      </c>
      <c r="B61" s="461" t="s">
        <v>1032</v>
      </c>
      <c r="C61" s="461"/>
      <c r="D61" s="461"/>
      <c r="E61" s="302"/>
      <c r="F61" s="302"/>
      <c r="G61" s="372"/>
      <c r="H61" s="380">
        <f>'ESTIMACIÓN DE INGRESOS'!C108</f>
        <v>0</v>
      </c>
      <c r="I61" s="298" t="e">
        <f t="shared" si="0"/>
        <v>#DIV/0!</v>
      </c>
      <c r="J61" s="301">
        <f t="shared" si="1"/>
        <v>0</v>
      </c>
      <c r="K61" s="302"/>
      <c r="L61" s="362"/>
    </row>
    <row r="62" spans="1:12">
      <c r="A62" s="122">
        <v>9.5</v>
      </c>
      <c r="B62" s="461" t="s">
        <v>66</v>
      </c>
      <c r="C62" s="461"/>
      <c r="D62" s="461"/>
      <c r="E62" s="302"/>
      <c r="F62" s="302"/>
      <c r="G62" s="372"/>
      <c r="H62" s="378">
        <f>'ESTIMACIÓN DE INGRESOS'!C109</f>
        <v>0</v>
      </c>
      <c r="I62" s="123" t="e">
        <f t="shared" si="0"/>
        <v>#DIV/0!</v>
      </c>
      <c r="J62" s="301">
        <f t="shared" si="1"/>
        <v>0</v>
      </c>
      <c r="K62" s="302"/>
      <c r="L62" s="362"/>
    </row>
    <row r="63" spans="1:12">
      <c r="A63" s="122">
        <v>9.6</v>
      </c>
      <c r="B63" s="461" t="s">
        <v>1033</v>
      </c>
      <c r="C63" s="461"/>
      <c r="D63" s="461"/>
      <c r="E63" s="302"/>
      <c r="F63" s="302"/>
      <c r="G63" s="372"/>
      <c r="H63" s="380">
        <f>'ESTIMACIÓN DE INGRESOS'!C110</f>
        <v>0</v>
      </c>
      <c r="I63" s="298" t="e">
        <f t="shared" si="0"/>
        <v>#DIV/0!</v>
      </c>
      <c r="J63" s="301">
        <f t="shared" si="1"/>
        <v>0</v>
      </c>
      <c r="K63" s="302"/>
      <c r="L63" s="362"/>
    </row>
    <row r="64" spans="1:12">
      <c r="A64" s="122">
        <v>9.6999999999999993</v>
      </c>
      <c r="B64" s="461" t="s">
        <v>1034</v>
      </c>
      <c r="C64" s="461"/>
      <c r="D64" s="461"/>
      <c r="E64" s="302"/>
      <c r="F64" s="302"/>
      <c r="G64" s="372"/>
      <c r="H64" s="378">
        <f>'ESTIMACIÓN DE INGRESOS'!C111</f>
        <v>0</v>
      </c>
      <c r="I64" s="125" t="e">
        <f t="shared" si="0"/>
        <v>#DIV/0!</v>
      </c>
      <c r="J64" s="301">
        <f t="shared" si="1"/>
        <v>0</v>
      </c>
      <c r="K64" s="302"/>
      <c r="L64" s="362"/>
    </row>
    <row r="65" spans="1:12" ht="13.9" customHeight="1">
      <c r="A65" s="223">
        <v>0</v>
      </c>
      <c r="B65" s="465" t="s">
        <v>25</v>
      </c>
      <c r="C65" s="465"/>
      <c r="D65" s="465"/>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c r="A66" s="122">
        <v>0.1</v>
      </c>
      <c r="B66" s="469" t="s">
        <v>851</v>
      </c>
      <c r="C66" s="470"/>
      <c r="D66" s="471"/>
      <c r="E66" s="306"/>
      <c r="F66" s="306"/>
      <c r="G66" s="375"/>
      <c r="H66" s="381">
        <f>'ESTIMACIÓN DE INGRESOS'!C113</f>
        <v>0</v>
      </c>
      <c r="I66" s="125" t="e">
        <f t="shared" si="0"/>
        <v>#DIV/0!</v>
      </c>
      <c r="J66" s="301">
        <f t="shared" si="1"/>
        <v>0</v>
      </c>
      <c r="K66" s="306"/>
      <c r="L66" s="365"/>
    </row>
    <row r="67" spans="1:12">
      <c r="A67" s="122">
        <v>0.2</v>
      </c>
      <c r="B67" s="469" t="s">
        <v>1035</v>
      </c>
      <c r="C67" s="470"/>
      <c r="D67" s="471"/>
      <c r="E67" s="306"/>
      <c r="F67" s="306"/>
      <c r="G67" s="375"/>
      <c r="H67" s="382">
        <f>'ESTIMACIÓN DE INGRESOS'!C114</f>
        <v>0</v>
      </c>
      <c r="I67" s="299" t="e">
        <f t="shared" si="0"/>
        <v>#DIV/0!</v>
      </c>
      <c r="J67" s="301">
        <f t="shared" si="1"/>
        <v>0</v>
      </c>
      <c r="K67" s="306"/>
      <c r="L67" s="365"/>
    </row>
    <row r="68" spans="1:12">
      <c r="A68" s="122">
        <v>0.3</v>
      </c>
      <c r="B68" s="339" t="s">
        <v>1036</v>
      </c>
      <c r="C68" s="340"/>
      <c r="D68" s="341"/>
      <c r="E68" s="306"/>
      <c r="F68" s="306"/>
      <c r="G68" s="375"/>
      <c r="H68" s="381">
        <f>'ESTIMACIÓN DE INGRESOS'!C115</f>
        <v>0</v>
      </c>
      <c r="I68" s="125" t="e">
        <f t="shared" si="0"/>
        <v>#DIV/0!</v>
      </c>
      <c r="J68" s="301">
        <f t="shared" si="1"/>
        <v>0</v>
      </c>
      <c r="K68" s="306"/>
      <c r="L68" s="365"/>
    </row>
    <row r="69" spans="1:12" ht="22.9" customHeight="1">
      <c r="A69" s="466" t="s">
        <v>139</v>
      </c>
      <c r="B69" s="467"/>
      <c r="C69" s="467"/>
      <c r="D69" s="467"/>
      <c r="E69" s="304">
        <f>SUM(E6+E16+E22+E25+E32+E36+E41+E51+E57+E65)</f>
        <v>75582685</v>
      </c>
      <c r="F69" s="304">
        <f>SUM(F6+F16+F22+F25+F32+F36+F41+F51+F57+F65)</f>
        <v>66679162</v>
      </c>
      <c r="G69" s="376">
        <f>SUM(G6+G16+G22+G25+G32+G36+G41+G51+G57+G65)</f>
        <v>72532430</v>
      </c>
      <c r="H69" s="383">
        <f>SUM(H6+H16+H22+H25+H32+H36+H41+H51+H57+H65)</f>
        <v>70505677</v>
      </c>
      <c r="I69" s="226">
        <f t="shared" si="0"/>
        <v>-2.7942714727743123E-2</v>
      </c>
      <c r="J69" s="304">
        <f>SUM(J6+J16+J22+J25+J32+J36+J41+J51+J57+J65)</f>
        <v>70858205.38499999</v>
      </c>
      <c r="K69" s="304">
        <f>SUM(K6+K16+K22+K25+K32+K36+K41+K51+K57+K65)</f>
        <v>74759142</v>
      </c>
      <c r="L69" s="366">
        <f>SUM(L6+L16+L22+L25+L32+L36+L41+L51+L57+L65)</f>
        <v>79769984</v>
      </c>
    </row>
    <row r="70" spans="1:12" ht="12" customHeight="1">
      <c r="A70" s="464"/>
      <c r="B70" s="464"/>
      <c r="C70" s="464"/>
      <c r="D70" s="464"/>
      <c r="E70" s="464"/>
      <c r="F70" s="464"/>
      <c r="G70" s="464"/>
      <c r="H70" s="464"/>
      <c r="I70" s="464"/>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63" t="s">
        <v>1037</v>
      </c>
      <c r="B73" s="463"/>
      <c r="C73" s="463"/>
      <c r="D73" s="463"/>
      <c r="E73" s="52"/>
      <c r="F73" s="52"/>
      <c r="G73" s="52"/>
      <c r="H73" s="52"/>
      <c r="I73" s="52"/>
      <c r="J73" s="52"/>
      <c r="K73" s="52"/>
      <c r="L73" s="52"/>
    </row>
    <row r="74" spans="1:12">
      <c r="A74" s="229" t="s">
        <v>26</v>
      </c>
      <c r="B74" s="230" t="s">
        <v>3</v>
      </c>
      <c r="C74" s="231" t="s">
        <v>842</v>
      </c>
      <c r="D74" s="232" t="s">
        <v>28</v>
      </c>
      <c r="E74" s="4"/>
      <c r="F74" s="4"/>
      <c r="G74" s="4"/>
      <c r="H74" s="4"/>
      <c r="I74" s="4"/>
      <c r="J74" s="4"/>
      <c r="K74" s="4"/>
      <c r="L74" s="4"/>
    </row>
    <row r="75" spans="1:12" ht="18.75" customHeight="1">
      <c r="A75" s="5">
        <v>1</v>
      </c>
      <c r="B75" s="6" t="s">
        <v>1038</v>
      </c>
      <c r="C75" s="7">
        <f>H6+H16+H22+H25+H32+H36+H41</f>
        <v>7036410</v>
      </c>
      <c r="D75" s="8">
        <f>C75/$C$78</f>
        <v>9.9799197729850894E-2</v>
      </c>
    </row>
    <row r="76" spans="1:12" ht="102">
      <c r="A76" s="5">
        <v>2</v>
      </c>
      <c r="B76" s="6" t="s">
        <v>1098</v>
      </c>
      <c r="C76" s="7">
        <f>H51+H57</f>
        <v>63469267</v>
      </c>
      <c r="D76" s="8">
        <f t="shared" ref="D76:D77" si="4">C76/$C$78</f>
        <v>0.90020080227014909</v>
      </c>
    </row>
    <row r="77" spans="1:12" ht="25.5">
      <c r="A77" s="5">
        <v>3</v>
      </c>
      <c r="B77" s="6" t="s">
        <v>1039</v>
      </c>
      <c r="C77" s="7">
        <f>H65</f>
        <v>0</v>
      </c>
      <c r="D77" s="8">
        <f t="shared" si="4"/>
        <v>0</v>
      </c>
    </row>
    <row r="78" spans="1:12">
      <c r="A78" s="118"/>
      <c r="B78" s="233" t="s">
        <v>841</v>
      </c>
      <c r="C78" s="234">
        <f>SUM(C75:C77)</f>
        <v>70505677</v>
      </c>
      <c r="D78" s="235">
        <f>SUM(D75:D77)</f>
        <v>1</v>
      </c>
    </row>
    <row r="79" spans="1:12" ht="55.15" customHeight="1">
      <c r="A79" s="462" t="s">
        <v>1042</v>
      </c>
      <c r="B79" s="462"/>
      <c r="C79" s="462"/>
      <c r="D79" s="462"/>
      <c r="E79" s="52"/>
      <c r="F79" s="52"/>
      <c r="G79" s="52"/>
      <c r="H79" s="52"/>
      <c r="I79" s="52"/>
      <c r="J79" s="52"/>
      <c r="K79" s="52"/>
      <c r="L79" s="52"/>
    </row>
    <row r="80" spans="1:12">
      <c r="A80" s="236" t="s">
        <v>30</v>
      </c>
      <c r="B80" s="236" t="s">
        <v>3</v>
      </c>
      <c r="C80" s="237" t="s">
        <v>842</v>
      </c>
      <c r="D80" s="238" t="s">
        <v>28</v>
      </c>
      <c r="E80" s="4"/>
      <c r="F80" s="4"/>
      <c r="G80" s="4"/>
      <c r="H80" s="4"/>
      <c r="I80" s="4"/>
      <c r="J80" s="4"/>
      <c r="K80" s="4"/>
      <c r="L80" s="4"/>
    </row>
    <row r="81" spans="1:4">
      <c r="A81" s="5">
        <v>1.1000000000000001</v>
      </c>
      <c r="B81" s="59" t="s">
        <v>837</v>
      </c>
      <c r="C81" s="10">
        <f>'PRESUP.EGRESOS FUENTE FINANCIAM'!C433</f>
        <v>0</v>
      </c>
      <c r="D81" s="8">
        <f>C81/$C$88</f>
        <v>0</v>
      </c>
    </row>
    <row r="82" spans="1:4">
      <c r="A82" s="5">
        <v>1.2</v>
      </c>
      <c r="B82" s="9" t="s">
        <v>31</v>
      </c>
      <c r="C82" s="10">
        <f>'PRESUP.EGRESOS FUENTE FINANCIAM'!D433</f>
        <v>0</v>
      </c>
      <c r="D82" s="8">
        <f t="shared" ref="D82:D87" si="5">C82/$C$88</f>
        <v>0</v>
      </c>
    </row>
    <row r="83" spans="1:4">
      <c r="A83" s="5">
        <v>1.3</v>
      </c>
      <c r="B83" s="9" t="s">
        <v>1040</v>
      </c>
      <c r="C83" s="10">
        <f>'PRESUP.EGRESOS FUENTE FINANCIAM'!E433</f>
        <v>0</v>
      </c>
      <c r="D83" s="8">
        <f t="shared" si="5"/>
        <v>0</v>
      </c>
    </row>
    <row r="84" spans="1:4">
      <c r="A84" s="5">
        <v>1.4</v>
      </c>
      <c r="B84" s="9" t="s">
        <v>32</v>
      </c>
      <c r="C84" s="10">
        <f>'PRESUP.EGRESOS FUENTE FINANCIAM'!F433</f>
        <v>7036410</v>
      </c>
      <c r="D84" s="8">
        <f t="shared" si="5"/>
        <v>0.12992752494011653</v>
      </c>
    </row>
    <row r="85" spans="1:4">
      <c r="A85" s="5">
        <v>1.5</v>
      </c>
      <c r="B85" s="9" t="s">
        <v>33</v>
      </c>
      <c r="C85" s="10">
        <f>'PRESUP.EGRESOS FUENTE FINANCIAM'!G433</f>
        <v>46272501</v>
      </c>
      <c r="D85" s="8">
        <f t="shared" si="5"/>
        <v>0.85442314016935716</v>
      </c>
    </row>
    <row r="86" spans="1:4">
      <c r="A86" s="5">
        <v>1.6</v>
      </c>
      <c r="B86" s="9" t="s">
        <v>1097</v>
      </c>
      <c r="C86" s="10">
        <f>'PRESUP.EGRESOS FUENTE FINANCIAM'!H433</f>
        <v>847512</v>
      </c>
      <c r="D86" s="8">
        <f t="shared" si="5"/>
        <v>1.5649334890526282E-2</v>
      </c>
    </row>
    <row r="87" spans="1:4">
      <c r="A87" s="5">
        <v>1.7</v>
      </c>
      <c r="B87" s="9" t="s">
        <v>1041</v>
      </c>
      <c r="C87" s="10">
        <f>'PRESUP.EGRESOS FUENTE FINANCIAM'!I433</f>
        <v>0</v>
      </c>
      <c r="D87" s="8">
        <f t="shared" si="5"/>
        <v>0</v>
      </c>
    </row>
    <row r="88" spans="1:4">
      <c r="A88" s="239"/>
      <c r="B88" s="233" t="s">
        <v>841</v>
      </c>
      <c r="C88" s="234">
        <f>SUM(C81:C87)</f>
        <v>54156423</v>
      </c>
      <c r="D88" s="240">
        <f>SUM(D81:D87)</f>
        <v>1</v>
      </c>
    </row>
    <row r="91" spans="1:4" ht="36.6" customHeight="1">
      <c r="A91" s="462" t="s">
        <v>1043</v>
      </c>
      <c r="B91" s="462"/>
      <c r="C91" s="462"/>
      <c r="D91" s="462"/>
    </row>
    <row r="92" spans="1:4" ht="12.75" customHeight="1">
      <c r="A92" s="119"/>
      <c r="B92" s="119"/>
      <c r="C92" s="120"/>
      <c r="D92" s="121"/>
    </row>
    <row r="93" spans="1:4" ht="19.149999999999999" customHeight="1">
      <c r="A93" s="5">
        <v>2.5</v>
      </c>
      <c r="B93" s="9" t="s">
        <v>33</v>
      </c>
      <c r="C93" s="10">
        <f>'PRESUP.EGRESOS FUENTE FINANCIAM'!J433</f>
        <v>16349254</v>
      </c>
      <c r="D93" s="8">
        <f>C93/$C$96</f>
        <v>1</v>
      </c>
    </row>
    <row r="94" spans="1:4" ht="19.149999999999999" customHeight="1">
      <c r="A94" s="5">
        <v>2.6</v>
      </c>
      <c r="B94" s="9" t="s">
        <v>1097</v>
      </c>
      <c r="C94" s="10">
        <f>'PRESUP.EGRESOS FUENTE FINANCIAM'!K433</f>
        <v>0</v>
      </c>
      <c r="D94" s="8">
        <f t="shared" ref="D94:D95" si="6">C94/$C$96</f>
        <v>0</v>
      </c>
    </row>
    <row r="95" spans="1:4" ht="24" customHeight="1">
      <c r="A95" s="5">
        <v>2.7</v>
      </c>
      <c r="B95" s="267" t="s">
        <v>1057</v>
      </c>
      <c r="C95" s="10">
        <f>'PRESUP.EGRESOS FUENTE FINANCIAM'!L433</f>
        <v>0</v>
      </c>
      <c r="D95" s="8">
        <f t="shared" si="6"/>
        <v>0</v>
      </c>
    </row>
    <row r="96" spans="1:4">
      <c r="A96" s="239"/>
      <c r="B96" s="233" t="s">
        <v>841</v>
      </c>
      <c r="C96" s="234">
        <f>SUM(C93:C95)</f>
        <v>16349254</v>
      </c>
      <c r="D96" s="240">
        <f>SUM(D93:D95)</f>
        <v>1</v>
      </c>
    </row>
  </sheetData>
  <sheetProtection algorithmName="SHA-512" hashValue="eLVPRHJfkaS1XPcJmGJWWXuGzbHrjgfyF0ENTOoorXZ7Z8QeXl2eCwk/9j/6Q2Y0oXR4GDefHsjtkVYD0UmFJw==" saltValue="t6X/UmKZJEoIy88QHhMhJ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58:G68 E6:E15 E57:E68 E52:G56 E51:H51 F22:H22 F25:H25 F32:H32 F36:H36 F41:H41 F6:H6 F57:H57 F23:G24 J6:L15 J17:L41 J51:L68 E17:E34 E36:E41 E50:F50 F33:G34 G35">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opLeftCell="F40" zoomScale="110" zoomScaleNormal="110" workbookViewId="0">
      <selection activeCell="H78" sqref="H78"/>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54" t="s">
        <v>1129</v>
      </c>
      <c r="B1" s="454"/>
      <c r="C1" s="454"/>
      <c r="D1" s="454"/>
      <c r="E1" s="454"/>
      <c r="F1" s="454"/>
      <c r="G1" s="454"/>
      <c r="H1" s="454"/>
      <c r="I1" s="454"/>
      <c r="J1" s="454"/>
      <c r="K1" s="454"/>
      <c r="L1" s="454"/>
    </row>
    <row r="2" spans="1:12" ht="21" customHeight="1">
      <c r="A2" s="456" t="str">
        <f>'ESTIMACIÓN DE INGRESOS'!A2:C2</f>
        <v>Nombre del Municipio: Cabo Corrientes</v>
      </c>
      <c r="B2" s="456"/>
      <c r="C2" s="456"/>
      <c r="D2" s="456"/>
      <c r="E2" s="456"/>
      <c r="F2" s="456"/>
      <c r="G2" s="456"/>
      <c r="H2" s="456"/>
      <c r="I2" s="456"/>
      <c r="J2" s="456"/>
      <c r="K2" s="456"/>
      <c r="L2" s="456"/>
    </row>
    <row r="3" spans="1:12" s="13" customFormat="1" ht="9.75" customHeight="1">
      <c r="A3" s="498" t="s">
        <v>5</v>
      </c>
      <c r="B3" s="498"/>
      <c r="C3" s="498"/>
      <c r="D3" s="498"/>
      <c r="E3" s="478" t="s">
        <v>1084</v>
      </c>
      <c r="F3" s="478" t="s">
        <v>1085</v>
      </c>
      <c r="G3" s="497" t="s">
        <v>899</v>
      </c>
      <c r="H3" s="478" t="s">
        <v>900</v>
      </c>
      <c r="I3" s="495" t="s">
        <v>901</v>
      </c>
      <c r="J3" s="478" t="s">
        <v>1086</v>
      </c>
      <c r="K3" s="478" t="s">
        <v>1087</v>
      </c>
      <c r="L3" s="478" t="s">
        <v>1088</v>
      </c>
    </row>
    <row r="4" spans="1:12" s="13" customFormat="1" ht="11.25" customHeight="1">
      <c r="A4" s="498"/>
      <c r="B4" s="498"/>
      <c r="C4" s="498"/>
      <c r="D4" s="498"/>
      <c r="E4" s="478"/>
      <c r="F4" s="478"/>
      <c r="G4" s="497"/>
      <c r="H4" s="478"/>
      <c r="I4" s="495"/>
      <c r="J4" s="478"/>
      <c r="K4" s="478"/>
      <c r="L4" s="478"/>
    </row>
    <row r="5" spans="1:12" s="13" customFormat="1" ht="15.75">
      <c r="A5" s="384" t="s">
        <v>34</v>
      </c>
      <c r="B5" s="385"/>
      <c r="C5" s="385"/>
      <c r="D5" s="385"/>
      <c r="E5" s="385"/>
      <c r="F5" s="385"/>
      <c r="G5" s="385"/>
      <c r="H5" s="384"/>
      <c r="I5" s="386"/>
      <c r="J5" s="391"/>
      <c r="K5" s="391"/>
      <c r="L5" s="392"/>
    </row>
    <row r="6" spans="1:12" s="13" customFormat="1" ht="15" customHeight="1">
      <c r="A6" s="241">
        <v>1000</v>
      </c>
      <c r="B6" s="496" t="s">
        <v>35</v>
      </c>
      <c r="C6" s="496"/>
      <c r="D6" s="496"/>
      <c r="E6" s="307">
        <f>SUM(E7:E13)</f>
        <v>28602068</v>
      </c>
      <c r="F6" s="307">
        <f>SUM(F7:F13)</f>
        <v>29414162</v>
      </c>
      <c r="G6" s="307">
        <f>SUM(G7:G13)</f>
        <v>34244480</v>
      </c>
      <c r="H6" s="387">
        <f>SUM(H7:H13)</f>
        <v>32523895</v>
      </c>
      <c r="I6" s="242">
        <f>H6/G6-1</f>
        <v>-5.0244156138449125E-2</v>
      </c>
      <c r="J6" s="307">
        <f>SUM(J7:J13)</f>
        <v>35909175</v>
      </c>
      <c r="K6" s="307">
        <f>SUM(K7:K13)</f>
        <v>37704633.75</v>
      </c>
      <c r="L6" s="307">
        <f>SUM(L7:L13)</f>
        <v>39589865.4375</v>
      </c>
    </row>
    <row r="7" spans="1:12" s="13" customFormat="1" ht="15" customHeight="1">
      <c r="A7" s="48">
        <v>1100</v>
      </c>
      <c r="B7" s="481" t="s">
        <v>36</v>
      </c>
      <c r="C7" s="481"/>
      <c r="D7" s="481"/>
      <c r="E7" s="308">
        <v>20423304</v>
      </c>
      <c r="F7" s="308">
        <v>21305956</v>
      </c>
      <c r="G7" s="308">
        <v>25289218</v>
      </c>
      <c r="H7" s="388">
        <f>'PRESUP.EGRESOS FUENTE FINANCIAM'!M7</f>
        <v>23773153</v>
      </c>
      <c r="I7" s="55">
        <f t="shared" ref="I7:I70" si="0">H7/G7-1</f>
        <v>-5.9949066040713483E-2</v>
      </c>
      <c r="J7" s="308">
        <v>24676669</v>
      </c>
      <c r="K7" s="308">
        <f>J7*0.05+J7</f>
        <v>25910502.449999999</v>
      </c>
      <c r="L7" s="308">
        <f>K7*0.05+K7</f>
        <v>27206027.572499998</v>
      </c>
    </row>
    <row r="8" spans="1:12" s="13" customFormat="1" ht="15" customHeight="1">
      <c r="A8" s="48">
        <v>1200</v>
      </c>
      <c r="B8" s="481" t="s">
        <v>37</v>
      </c>
      <c r="C8" s="481"/>
      <c r="D8" s="481"/>
      <c r="E8" s="308">
        <v>2493180</v>
      </c>
      <c r="F8" s="308">
        <v>2780141</v>
      </c>
      <c r="G8" s="308">
        <v>3536461</v>
      </c>
      <c r="H8" s="388">
        <f>'PRESUP.EGRESOS FUENTE FINANCIAM'!M12</f>
        <v>1593117</v>
      </c>
      <c r="I8" s="55">
        <f t="shared" si="0"/>
        <v>-0.54951659300074285</v>
      </c>
      <c r="J8" s="308">
        <v>3717000</v>
      </c>
      <c r="K8" s="308">
        <f t="shared" ref="K8:L12" si="1">J8*0.05+J8</f>
        <v>3902850</v>
      </c>
      <c r="L8" s="308">
        <f t="shared" si="1"/>
        <v>4097992.5</v>
      </c>
    </row>
    <row r="9" spans="1:12" s="13" customFormat="1" ht="15" customHeight="1">
      <c r="A9" s="48">
        <v>1300</v>
      </c>
      <c r="B9" s="481" t="s">
        <v>38</v>
      </c>
      <c r="C9" s="481"/>
      <c r="D9" s="481"/>
      <c r="E9" s="309">
        <v>3527819</v>
      </c>
      <c r="F9" s="309">
        <v>3665878</v>
      </c>
      <c r="G9" s="309">
        <v>3405586</v>
      </c>
      <c r="H9" s="388">
        <f>'PRESUP.EGRESOS FUENTE FINANCIAM'!M17</f>
        <v>3386611</v>
      </c>
      <c r="I9" s="55">
        <f t="shared" si="0"/>
        <v>-5.5717283310420251E-3</v>
      </c>
      <c r="J9" s="309">
        <v>3555941</v>
      </c>
      <c r="K9" s="308">
        <f t="shared" si="1"/>
        <v>3733738.05</v>
      </c>
      <c r="L9" s="308">
        <f t="shared" si="1"/>
        <v>3920424.9524999997</v>
      </c>
    </row>
    <row r="10" spans="1:12" s="13" customFormat="1" ht="15" customHeight="1">
      <c r="A10" s="48">
        <v>1400</v>
      </c>
      <c r="B10" s="481" t="s">
        <v>39</v>
      </c>
      <c r="C10" s="481"/>
      <c r="D10" s="481"/>
      <c r="E10" s="309">
        <v>0</v>
      </c>
      <c r="F10" s="309">
        <v>0</v>
      </c>
      <c r="G10" s="309"/>
      <c r="H10" s="388">
        <f>'PRESUP.EGRESOS FUENTE FINANCIAM'!M26</f>
        <v>0</v>
      </c>
      <c r="I10" s="55" t="e">
        <f t="shared" si="0"/>
        <v>#DIV/0!</v>
      </c>
      <c r="J10" s="309"/>
      <c r="K10" s="308">
        <f t="shared" si="1"/>
        <v>0</v>
      </c>
      <c r="L10" s="308">
        <f t="shared" si="1"/>
        <v>0</v>
      </c>
    </row>
    <row r="11" spans="1:12" s="13" customFormat="1" ht="15" customHeight="1">
      <c r="A11" s="48">
        <v>1500</v>
      </c>
      <c r="B11" s="481" t="s">
        <v>40</v>
      </c>
      <c r="C11" s="481"/>
      <c r="D11" s="481"/>
      <c r="E11" s="309">
        <v>2157765</v>
      </c>
      <c r="F11" s="309">
        <v>1662187</v>
      </c>
      <c r="G11" s="309">
        <v>2013215</v>
      </c>
      <c r="H11" s="388">
        <f>'PRESUP.EGRESOS FUENTE FINANCIAM'!M31</f>
        <v>1651600</v>
      </c>
      <c r="I11" s="55">
        <f t="shared" si="0"/>
        <v>-0.17962065651209635</v>
      </c>
      <c r="J11" s="309">
        <v>1734180</v>
      </c>
      <c r="K11" s="308">
        <f t="shared" si="1"/>
        <v>1820889</v>
      </c>
      <c r="L11" s="308">
        <f t="shared" si="1"/>
        <v>1911933.45</v>
      </c>
    </row>
    <row r="12" spans="1:12" s="13" customFormat="1" ht="15" customHeight="1">
      <c r="A12" s="48">
        <v>1600</v>
      </c>
      <c r="B12" s="481" t="s">
        <v>41</v>
      </c>
      <c r="C12" s="481"/>
      <c r="D12" s="481"/>
      <c r="E12" s="309"/>
      <c r="F12" s="309"/>
      <c r="G12" s="309"/>
      <c r="H12" s="388">
        <f>'PRESUP.EGRESOS FUENTE FINANCIAM'!M38</f>
        <v>2119414</v>
      </c>
      <c r="I12" s="55" t="e">
        <f t="shared" si="0"/>
        <v>#DIV/0!</v>
      </c>
      <c r="J12" s="309">
        <v>2225385</v>
      </c>
      <c r="K12" s="308">
        <f t="shared" si="1"/>
        <v>2336654.25</v>
      </c>
      <c r="L12" s="308">
        <f t="shared" si="1"/>
        <v>2453486.9624999999</v>
      </c>
    </row>
    <row r="13" spans="1:12" s="13" customFormat="1" ht="15" customHeight="1">
      <c r="A13" s="48">
        <v>1700</v>
      </c>
      <c r="B13" s="482" t="s">
        <v>42</v>
      </c>
      <c r="C13" s="483"/>
      <c r="D13" s="484"/>
      <c r="E13" s="308"/>
      <c r="F13" s="308"/>
      <c r="G13" s="308"/>
      <c r="H13" s="388">
        <f>'PRESUP.EGRESOS FUENTE FINANCIAM'!M40</f>
        <v>0</v>
      </c>
      <c r="I13" s="55" t="e">
        <f t="shared" si="0"/>
        <v>#DIV/0!</v>
      </c>
      <c r="J13" s="308"/>
      <c r="K13" s="308"/>
      <c r="L13" s="308"/>
    </row>
    <row r="14" spans="1:12" s="13" customFormat="1" ht="15" customHeight="1">
      <c r="A14" s="243">
        <v>2000</v>
      </c>
      <c r="B14" s="485" t="s">
        <v>43</v>
      </c>
      <c r="C14" s="485"/>
      <c r="D14" s="485"/>
      <c r="E14" s="310">
        <f>SUM(E15:E23)</f>
        <v>10222852</v>
      </c>
      <c r="F14" s="310">
        <f>SUM(F15:F23)</f>
        <v>8594379</v>
      </c>
      <c r="G14" s="310">
        <f>SUM(G15:G23)</f>
        <v>11483605</v>
      </c>
      <c r="H14" s="389">
        <f>SUM(H15:H23)</f>
        <v>6552181</v>
      </c>
      <c r="I14" s="244">
        <f t="shared" si="0"/>
        <v>-0.42943169849537666</v>
      </c>
      <c r="J14" s="310">
        <f>SUM(J15:J23)</f>
        <v>10098457</v>
      </c>
      <c r="K14" s="310">
        <f>SUM(K15:K23)</f>
        <v>10603379.85</v>
      </c>
      <c r="L14" s="310">
        <f>SUM(L15:L23)</f>
        <v>11133548.842500001</v>
      </c>
    </row>
    <row r="15" spans="1:12" s="13" customFormat="1" ht="15" customHeight="1">
      <c r="A15" s="48">
        <v>2100</v>
      </c>
      <c r="B15" s="481" t="s">
        <v>44</v>
      </c>
      <c r="C15" s="481"/>
      <c r="D15" s="481"/>
      <c r="E15" s="308">
        <v>389126</v>
      </c>
      <c r="F15" s="308">
        <v>434009</v>
      </c>
      <c r="G15" s="308">
        <v>290317</v>
      </c>
      <c r="H15" s="388">
        <f>'PRESUP.EGRESOS FUENTE FINANCIAM'!M44</f>
        <v>340602</v>
      </c>
      <c r="I15" s="55">
        <f t="shared" si="0"/>
        <v>0.17320721831652985</v>
      </c>
      <c r="J15" s="308">
        <v>3576321</v>
      </c>
      <c r="K15" s="308">
        <f t="shared" ref="K15:L25" si="2">J15*0.05+J15</f>
        <v>3755137.05</v>
      </c>
      <c r="L15" s="308">
        <f t="shared" si="2"/>
        <v>3942893.9024999999</v>
      </c>
    </row>
    <row r="16" spans="1:12" s="13" customFormat="1" ht="15" customHeight="1">
      <c r="A16" s="48">
        <v>2200</v>
      </c>
      <c r="B16" s="481" t="s">
        <v>1099</v>
      </c>
      <c r="C16" s="481"/>
      <c r="D16" s="481"/>
      <c r="E16" s="308">
        <v>2065987</v>
      </c>
      <c r="F16" s="308">
        <v>2018181</v>
      </c>
      <c r="G16" s="308">
        <v>2491717</v>
      </c>
      <c r="H16" s="388">
        <f>'PRESUP.EGRESOS FUENTE FINANCIAM'!M53</f>
        <v>503900</v>
      </c>
      <c r="I16" s="55">
        <f t="shared" si="0"/>
        <v>-0.79776997146947259</v>
      </c>
      <c r="J16" s="308">
        <v>529095</v>
      </c>
      <c r="K16" s="308">
        <f t="shared" si="2"/>
        <v>555549.75</v>
      </c>
      <c r="L16" s="308">
        <f t="shared" ref="L16" si="3">K16*0.05+K16</f>
        <v>583327.23750000005</v>
      </c>
    </row>
    <row r="17" spans="1:12" s="13" customFormat="1" ht="15" customHeight="1">
      <c r="A17" s="48">
        <v>2300</v>
      </c>
      <c r="B17" s="481" t="s">
        <v>45</v>
      </c>
      <c r="C17" s="481"/>
      <c r="D17" s="481"/>
      <c r="E17" s="309">
        <v>2984</v>
      </c>
      <c r="F17" s="309">
        <v>4654</v>
      </c>
      <c r="G17" s="309"/>
      <c r="H17" s="388">
        <f>'PRESUP.EGRESOS FUENTE FINANCIAM'!M57</f>
        <v>0</v>
      </c>
      <c r="I17" s="55" t="e">
        <f t="shared" si="0"/>
        <v>#DIV/0!</v>
      </c>
      <c r="J17" s="309"/>
      <c r="K17" s="308">
        <f t="shared" si="2"/>
        <v>0</v>
      </c>
      <c r="L17" s="308">
        <f t="shared" ref="L17" si="4">K17*0.05+K17</f>
        <v>0</v>
      </c>
    </row>
    <row r="18" spans="1:12" s="13" customFormat="1" ht="15" customHeight="1">
      <c r="A18" s="48">
        <v>2400</v>
      </c>
      <c r="B18" s="481" t="s">
        <v>46</v>
      </c>
      <c r="C18" s="481"/>
      <c r="D18" s="481"/>
      <c r="E18" s="309">
        <v>731264</v>
      </c>
      <c r="F18" s="309">
        <v>375085</v>
      </c>
      <c r="G18" s="309">
        <v>201497</v>
      </c>
      <c r="H18" s="388">
        <f>'PRESUP.EGRESOS FUENTE FINANCIAM'!M67</f>
        <v>204200</v>
      </c>
      <c r="I18" s="55">
        <f t="shared" si="0"/>
        <v>1.3414591780522844E-2</v>
      </c>
      <c r="J18" s="309">
        <v>214410</v>
      </c>
      <c r="K18" s="308">
        <f t="shared" si="2"/>
        <v>225130.5</v>
      </c>
      <c r="L18" s="308">
        <f t="shared" ref="L18" si="5">K18*0.05+K18</f>
        <v>236387.02499999999</v>
      </c>
    </row>
    <row r="19" spans="1:12" s="13" customFormat="1" ht="15" customHeight="1">
      <c r="A19" s="48">
        <v>2500</v>
      </c>
      <c r="B19" s="481" t="s">
        <v>47</v>
      </c>
      <c r="C19" s="481"/>
      <c r="D19" s="481"/>
      <c r="E19" s="309">
        <v>1864552</v>
      </c>
      <c r="F19" s="309">
        <v>1389917</v>
      </c>
      <c r="G19" s="309">
        <v>978704</v>
      </c>
      <c r="H19" s="388">
        <f>'PRESUP.EGRESOS FUENTE FINANCIAM'!M77</f>
        <v>981610</v>
      </c>
      <c r="I19" s="55">
        <f t="shared" si="0"/>
        <v>2.9692327813108932E-3</v>
      </c>
      <c r="J19" s="309">
        <v>1030690</v>
      </c>
      <c r="K19" s="308">
        <f t="shared" si="2"/>
        <v>1082224.5</v>
      </c>
      <c r="L19" s="308">
        <f t="shared" ref="L19" si="6">K19*0.05+K19</f>
        <v>1136335.7250000001</v>
      </c>
    </row>
    <row r="20" spans="1:12" s="13" customFormat="1" ht="15" customHeight="1">
      <c r="A20" s="48">
        <v>2600</v>
      </c>
      <c r="B20" s="481" t="s">
        <v>48</v>
      </c>
      <c r="C20" s="481"/>
      <c r="D20" s="481"/>
      <c r="E20" s="309">
        <v>2949871</v>
      </c>
      <c r="F20" s="309">
        <v>3176967</v>
      </c>
      <c r="G20" s="309">
        <v>6418792</v>
      </c>
      <c r="H20" s="388">
        <f>'PRESUP.EGRESOS FUENTE FINANCIAM'!M85</f>
        <v>3280000</v>
      </c>
      <c r="I20" s="55">
        <f t="shared" si="0"/>
        <v>-0.48900042250940678</v>
      </c>
      <c r="J20" s="309">
        <v>3444000</v>
      </c>
      <c r="K20" s="308">
        <f t="shared" si="2"/>
        <v>3616200</v>
      </c>
      <c r="L20" s="308">
        <f t="shared" ref="L20" si="7">K20*0.05+K20</f>
        <v>3797010</v>
      </c>
    </row>
    <row r="21" spans="1:12" s="13" customFormat="1" ht="15" customHeight="1">
      <c r="A21" s="48">
        <v>2700</v>
      </c>
      <c r="B21" s="482" t="s">
        <v>49</v>
      </c>
      <c r="C21" s="483"/>
      <c r="D21" s="484"/>
      <c r="E21" s="309">
        <v>157316</v>
      </c>
      <c r="F21" s="309">
        <v>119039</v>
      </c>
      <c r="G21" s="309">
        <v>38538</v>
      </c>
      <c r="H21" s="388">
        <f>'PRESUP.EGRESOS FUENTE FINANCIAM'!M88</f>
        <v>38548</v>
      </c>
      <c r="I21" s="55">
        <f t="shared" si="0"/>
        <v>2.5948414551879573E-4</v>
      </c>
      <c r="J21" s="309">
        <v>40465</v>
      </c>
      <c r="K21" s="308">
        <f t="shared" si="2"/>
        <v>42488.25</v>
      </c>
      <c r="L21" s="308">
        <f t="shared" ref="L21" si="8">K21*0.05+K21</f>
        <v>44612.662499999999</v>
      </c>
    </row>
    <row r="22" spans="1:12" s="13" customFormat="1" ht="15" customHeight="1">
      <c r="A22" s="48">
        <v>2800</v>
      </c>
      <c r="B22" s="482" t="s">
        <v>50</v>
      </c>
      <c r="C22" s="483"/>
      <c r="D22" s="484"/>
      <c r="E22" s="309">
        <v>240000</v>
      </c>
      <c r="F22" s="309">
        <v>2915</v>
      </c>
      <c r="G22" s="309"/>
      <c r="H22" s="388">
        <f>'PRESUP.EGRESOS FUENTE FINANCIAM'!M94</f>
        <v>106402</v>
      </c>
      <c r="I22" s="55" t="e">
        <f t="shared" si="0"/>
        <v>#DIV/0!</v>
      </c>
      <c r="J22" s="309">
        <v>111722</v>
      </c>
      <c r="K22" s="308">
        <f t="shared" si="2"/>
        <v>117308.1</v>
      </c>
      <c r="L22" s="308">
        <f t="shared" ref="L22" si="9">K22*0.05+K22</f>
        <v>123173.505</v>
      </c>
    </row>
    <row r="23" spans="1:12" s="13" customFormat="1" ht="15" customHeight="1">
      <c r="A23" s="48">
        <v>2900</v>
      </c>
      <c r="B23" s="481" t="s">
        <v>51</v>
      </c>
      <c r="C23" s="481"/>
      <c r="D23" s="481"/>
      <c r="E23" s="309">
        <v>1821752</v>
      </c>
      <c r="F23" s="309">
        <v>1073612</v>
      </c>
      <c r="G23" s="309">
        <v>1064040</v>
      </c>
      <c r="H23" s="388">
        <f>'PRESUP.EGRESOS FUENTE FINANCIAM'!M98</f>
        <v>1096919</v>
      </c>
      <c r="I23" s="55">
        <f t="shared" si="0"/>
        <v>3.0900154129543944E-2</v>
      </c>
      <c r="J23" s="309">
        <v>1151754</v>
      </c>
      <c r="K23" s="308">
        <f t="shared" si="2"/>
        <v>1209341.7</v>
      </c>
      <c r="L23" s="308">
        <f t="shared" ref="L23:L33" si="10">K23*0.05+K23</f>
        <v>1269808.7849999999</v>
      </c>
    </row>
    <row r="24" spans="1:12" s="13" customFormat="1" ht="15" customHeight="1">
      <c r="A24" s="243">
        <v>3000</v>
      </c>
      <c r="B24" s="485" t="s">
        <v>52</v>
      </c>
      <c r="C24" s="485"/>
      <c r="D24" s="485"/>
      <c r="E24" s="310">
        <f>SUM(E25:E33)</f>
        <v>10275331</v>
      </c>
      <c r="F24" s="310">
        <f>SUM(F25:F33)</f>
        <v>9976495</v>
      </c>
      <c r="G24" s="310">
        <f>SUM(G25:G33)</f>
        <v>10103673</v>
      </c>
      <c r="H24" s="389">
        <f>SUM(H25:H33)</f>
        <v>10912747</v>
      </c>
      <c r="I24" s="244">
        <f t="shared" si="0"/>
        <v>8.0077215483913555E-2</v>
      </c>
      <c r="J24" s="310">
        <f>SUM(J25:J33)</f>
        <v>12329372</v>
      </c>
      <c r="K24" s="310">
        <f>SUM(K25:K33)</f>
        <v>12945840.6</v>
      </c>
      <c r="L24" s="310">
        <f>SUM(L25:L33)</f>
        <v>13593132.629999999</v>
      </c>
    </row>
    <row r="25" spans="1:12" s="13" customFormat="1" ht="15" customHeight="1">
      <c r="A25" s="48">
        <v>3100</v>
      </c>
      <c r="B25" s="481" t="s">
        <v>53</v>
      </c>
      <c r="C25" s="481"/>
      <c r="D25" s="481"/>
      <c r="E25" s="308">
        <v>4427894</v>
      </c>
      <c r="F25" s="308">
        <v>4808443</v>
      </c>
      <c r="G25" s="308">
        <v>4275975</v>
      </c>
      <c r="H25" s="388">
        <f>'PRESUP.EGRESOS FUENTE FINANCIAM'!M109</f>
        <v>5057000</v>
      </c>
      <c r="I25" s="55">
        <f t="shared" si="0"/>
        <v>0.18265424844626077</v>
      </c>
      <c r="J25" s="308">
        <v>5309850</v>
      </c>
      <c r="K25" s="308">
        <f t="shared" si="2"/>
        <v>5575342.5</v>
      </c>
      <c r="L25" s="308">
        <f t="shared" si="10"/>
        <v>5854109.625</v>
      </c>
    </row>
    <row r="26" spans="1:12" s="13" customFormat="1" ht="15" customHeight="1">
      <c r="A26" s="48">
        <v>3200</v>
      </c>
      <c r="B26" s="481" t="s">
        <v>54</v>
      </c>
      <c r="C26" s="481"/>
      <c r="D26" s="481"/>
      <c r="E26" s="308">
        <v>614788</v>
      </c>
      <c r="F26" s="308">
        <v>388879</v>
      </c>
      <c r="G26" s="308">
        <v>372836</v>
      </c>
      <c r="H26" s="388">
        <f>'PRESUP.EGRESOS FUENTE FINANCIAM'!M119</f>
        <v>475000</v>
      </c>
      <c r="I26" s="55">
        <f t="shared" si="0"/>
        <v>0.2740186033537535</v>
      </c>
      <c r="J26" s="308">
        <v>395850</v>
      </c>
      <c r="K26" s="308">
        <f t="shared" ref="K26" si="11">J26*0.05+J26</f>
        <v>415642.5</v>
      </c>
      <c r="L26" s="308">
        <f t="shared" si="10"/>
        <v>436424.625</v>
      </c>
    </row>
    <row r="27" spans="1:12" s="13" customFormat="1" ht="15" customHeight="1">
      <c r="A27" s="48">
        <v>3300</v>
      </c>
      <c r="B27" s="481" t="s">
        <v>55</v>
      </c>
      <c r="C27" s="481"/>
      <c r="D27" s="481"/>
      <c r="E27" s="309">
        <v>490337</v>
      </c>
      <c r="F27" s="309">
        <v>645743</v>
      </c>
      <c r="G27" s="309">
        <v>169500</v>
      </c>
      <c r="H27" s="388">
        <f>'PRESUP.EGRESOS FUENTE FINANCIAM'!M129</f>
        <v>21500</v>
      </c>
      <c r="I27" s="55">
        <f t="shared" si="0"/>
        <v>-0.87315634218289084</v>
      </c>
      <c r="J27" s="309">
        <v>106575</v>
      </c>
      <c r="K27" s="308">
        <f t="shared" ref="K27" si="12">J27*0.05+J27</f>
        <v>111903.75</v>
      </c>
      <c r="L27" s="308">
        <f t="shared" si="10"/>
        <v>117498.9375</v>
      </c>
    </row>
    <row r="28" spans="1:12" s="13" customFormat="1" ht="15" customHeight="1">
      <c r="A28" s="48">
        <v>3400</v>
      </c>
      <c r="B28" s="481" t="s">
        <v>56</v>
      </c>
      <c r="C28" s="481"/>
      <c r="D28" s="481"/>
      <c r="E28" s="309">
        <v>222112</v>
      </c>
      <c r="F28" s="309">
        <v>404381</v>
      </c>
      <c r="G28" s="309">
        <v>218019</v>
      </c>
      <c r="H28" s="388">
        <f>'PRESUP.EGRESOS FUENTE FINANCIAM'!M139</f>
        <v>468159</v>
      </c>
      <c r="I28" s="55">
        <f t="shared" si="0"/>
        <v>1.1473311959049441</v>
      </c>
      <c r="J28" s="309">
        <v>491567</v>
      </c>
      <c r="K28" s="308">
        <f t="shared" ref="K28" si="13">J28*0.05+J28</f>
        <v>516145.35</v>
      </c>
      <c r="L28" s="308">
        <f t="shared" si="10"/>
        <v>541952.61749999993</v>
      </c>
    </row>
    <row r="29" spans="1:12" s="13" customFormat="1" ht="15" customHeight="1">
      <c r="A29" s="48">
        <v>3500</v>
      </c>
      <c r="B29" s="481" t="s">
        <v>57</v>
      </c>
      <c r="C29" s="481"/>
      <c r="D29" s="481"/>
      <c r="E29" s="309">
        <v>286558</v>
      </c>
      <c r="F29" s="309">
        <v>196655</v>
      </c>
      <c r="G29" s="309">
        <v>400086</v>
      </c>
      <c r="H29" s="388">
        <f>'PRESUP.EGRESOS FUENTE FINANCIAM'!M149</f>
        <v>402600</v>
      </c>
      <c r="I29" s="55">
        <f t="shared" si="0"/>
        <v>6.2836490154616342E-3</v>
      </c>
      <c r="J29" s="309">
        <v>422730</v>
      </c>
      <c r="K29" s="308">
        <f t="shared" ref="K29" si="14">J29*0.05+J29</f>
        <v>443866.5</v>
      </c>
      <c r="L29" s="308">
        <f t="shared" si="10"/>
        <v>466059.82500000001</v>
      </c>
    </row>
    <row r="30" spans="1:12" s="13" customFormat="1" ht="15" customHeight="1">
      <c r="A30" s="48">
        <v>3600</v>
      </c>
      <c r="B30" s="481" t="s">
        <v>58</v>
      </c>
      <c r="C30" s="481"/>
      <c r="D30" s="481"/>
      <c r="E30" s="309">
        <v>193504</v>
      </c>
      <c r="F30" s="309">
        <v>230380</v>
      </c>
      <c r="G30" s="309">
        <v>82000</v>
      </c>
      <c r="H30" s="388">
        <f>'PRESUP.EGRESOS FUENTE FINANCIAM'!M159</f>
        <v>82000</v>
      </c>
      <c r="I30" s="55">
        <f t="shared" si="0"/>
        <v>0</v>
      </c>
      <c r="J30" s="309">
        <v>86100</v>
      </c>
      <c r="K30" s="308">
        <f t="shared" ref="K30" si="15">J30*0.05+J30</f>
        <v>90405</v>
      </c>
      <c r="L30" s="308">
        <f t="shared" si="10"/>
        <v>94925.25</v>
      </c>
    </row>
    <row r="31" spans="1:12" s="13" customFormat="1" ht="15" customHeight="1">
      <c r="A31" s="48">
        <v>3700</v>
      </c>
      <c r="B31" s="482" t="s">
        <v>59</v>
      </c>
      <c r="C31" s="483"/>
      <c r="D31" s="484"/>
      <c r="E31" s="309">
        <v>1065273</v>
      </c>
      <c r="F31" s="309">
        <v>571642</v>
      </c>
      <c r="G31" s="309">
        <v>538480</v>
      </c>
      <c r="H31" s="388">
        <f>'PRESUP.EGRESOS FUENTE FINANCIAM'!M167</f>
        <v>550000</v>
      </c>
      <c r="I31" s="55">
        <f t="shared" si="0"/>
        <v>2.1393552221066647E-2</v>
      </c>
      <c r="J31" s="309">
        <v>577500</v>
      </c>
      <c r="K31" s="308">
        <f t="shared" ref="K31" si="16">J31*0.05+J31</f>
        <v>606375</v>
      </c>
      <c r="L31" s="308">
        <f t="shared" si="10"/>
        <v>636693.75</v>
      </c>
    </row>
    <row r="32" spans="1:12" s="13" customFormat="1" ht="15" customHeight="1">
      <c r="A32" s="48">
        <v>3800</v>
      </c>
      <c r="B32" s="482" t="s">
        <v>60</v>
      </c>
      <c r="C32" s="483"/>
      <c r="D32" s="484"/>
      <c r="E32" s="309">
        <v>2026092</v>
      </c>
      <c r="F32" s="309">
        <v>1785756</v>
      </c>
      <c r="G32" s="309">
        <v>1744153</v>
      </c>
      <c r="H32" s="388">
        <f>'PRESUP.EGRESOS FUENTE FINANCIAM'!M177</f>
        <v>1700000</v>
      </c>
      <c r="I32" s="55">
        <f t="shared" si="0"/>
        <v>-2.5314866299000149E-2</v>
      </c>
      <c r="J32" s="309">
        <v>1785000</v>
      </c>
      <c r="K32" s="308">
        <f t="shared" ref="K32" si="17">J32*0.05+J32</f>
        <v>1874250</v>
      </c>
      <c r="L32" s="308">
        <f t="shared" si="10"/>
        <v>1967962.5</v>
      </c>
    </row>
    <row r="33" spans="1:12" s="13" customFormat="1" ht="15" customHeight="1">
      <c r="A33" s="48">
        <v>3900</v>
      </c>
      <c r="B33" s="481" t="s">
        <v>61</v>
      </c>
      <c r="C33" s="481"/>
      <c r="D33" s="481"/>
      <c r="E33" s="309">
        <v>948773</v>
      </c>
      <c r="F33" s="309">
        <v>944616</v>
      </c>
      <c r="G33" s="309">
        <v>2302624</v>
      </c>
      <c r="H33" s="388">
        <f>'PRESUP.EGRESOS FUENTE FINANCIAM'!M183</f>
        <v>2156488</v>
      </c>
      <c r="I33" s="55">
        <f t="shared" si="0"/>
        <v>-6.346498603332551E-2</v>
      </c>
      <c r="J33" s="309">
        <v>3154200</v>
      </c>
      <c r="K33" s="308">
        <f t="shared" ref="K33" si="18">J33*0.05+J33</f>
        <v>3311910</v>
      </c>
      <c r="L33" s="308">
        <f t="shared" si="10"/>
        <v>3477505.5</v>
      </c>
    </row>
    <row r="34" spans="1:12" s="13" customFormat="1" ht="15" customHeight="1">
      <c r="A34" s="243">
        <v>4000</v>
      </c>
      <c r="B34" s="485" t="s">
        <v>62</v>
      </c>
      <c r="C34" s="485"/>
      <c r="D34" s="485"/>
      <c r="E34" s="310">
        <f>SUM(E35:E43)</f>
        <v>6145465</v>
      </c>
      <c r="F34" s="310">
        <f>SUM(F35:F43)</f>
        <v>4973479</v>
      </c>
      <c r="G34" s="310">
        <f>SUM(G35:G43)</f>
        <v>3640349</v>
      </c>
      <c r="H34" s="389">
        <f>SUM(H35:H43)</f>
        <v>6826512</v>
      </c>
      <c r="I34" s="244">
        <f t="shared" si="0"/>
        <v>0.87523558867570106</v>
      </c>
      <c r="J34" s="310">
        <f>SUM(J35:J43)</f>
        <v>7167838</v>
      </c>
      <c r="K34" s="310">
        <f>SUM(K35:K43)</f>
        <v>7526229.9000000004</v>
      </c>
      <c r="L34" s="310">
        <f>SUM(L35:L43)</f>
        <v>7902541.3950000005</v>
      </c>
    </row>
    <row r="35" spans="1:12" s="13" customFormat="1" ht="15.75">
      <c r="A35" s="37">
        <v>4100</v>
      </c>
      <c r="B35" s="479" t="s">
        <v>1100</v>
      </c>
      <c r="C35" s="479"/>
      <c r="D35" s="479"/>
      <c r="E35" s="308"/>
      <c r="F35" s="308"/>
      <c r="G35" s="308"/>
      <c r="H35" s="388">
        <f>'PRESUP.EGRESOS FUENTE FINANCIAM'!M194</f>
        <v>0</v>
      </c>
      <c r="I35" s="55" t="e">
        <f t="shared" si="0"/>
        <v>#DIV/0!</v>
      </c>
      <c r="J35" s="308"/>
      <c r="K35" s="308"/>
      <c r="L35" s="308"/>
    </row>
    <row r="36" spans="1:12" s="13" customFormat="1" ht="15" customHeight="1">
      <c r="A36" s="37">
        <v>4200</v>
      </c>
      <c r="B36" s="479" t="s">
        <v>63</v>
      </c>
      <c r="C36" s="479"/>
      <c r="D36" s="479"/>
      <c r="E36" s="309"/>
      <c r="F36" s="309"/>
      <c r="G36" s="309"/>
      <c r="H36" s="388">
        <f>'PRESUP.EGRESOS FUENTE FINANCIAM'!M204</f>
        <v>0</v>
      </c>
      <c r="I36" s="55" t="e">
        <f t="shared" si="0"/>
        <v>#DIV/0!</v>
      </c>
      <c r="J36" s="309"/>
      <c r="K36" s="309"/>
      <c r="L36" s="309"/>
    </row>
    <row r="37" spans="1:12" s="13" customFormat="1" ht="15" customHeight="1">
      <c r="A37" s="37">
        <v>4300</v>
      </c>
      <c r="B37" s="489" t="s">
        <v>64</v>
      </c>
      <c r="C37" s="490"/>
      <c r="D37" s="491"/>
      <c r="E37" s="309"/>
      <c r="F37" s="309"/>
      <c r="G37" s="309"/>
      <c r="H37" s="388">
        <f>'PRESUP.EGRESOS FUENTE FINANCIAM'!M210</f>
        <v>0</v>
      </c>
      <c r="I37" s="55" t="e">
        <f t="shared" si="0"/>
        <v>#DIV/0!</v>
      </c>
      <c r="J37" s="309"/>
      <c r="K37" s="309"/>
      <c r="L37" s="309"/>
    </row>
    <row r="38" spans="1:12" s="13" customFormat="1" ht="15" customHeight="1">
      <c r="A38" s="37">
        <v>4400</v>
      </c>
      <c r="B38" s="479" t="s">
        <v>65</v>
      </c>
      <c r="C38" s="479"/>
      <c r="D38" s="479"/>
      <c r="E38" s="308">
        <v>6145465</v>
      </c>
      <c r="F38" s="308">
        <v>4973479</v>
      </c>
      <c r="G38" s="308">
        <v>3640349</v>
      </c>
      <c r="H38" s="388">
        <f>'PRESUP.EGRESOS FUENTE FINANCIAM'!M220</f>
        <v>6826512</v>
      </c>
      <c r="I38" s="55">
        <f t="shared" si="0"/>
        <v>0.87523558867570106</v>
      </c>
      <c r="J38" s="308">
        <v>7167838</v>
      </c>
      <c r="K38" s="308">
        <f t="shared" ref="K38:L38" si="19">J38*0.05+J38</f>
        <v>7526229.9000000004</v>
      </c>
      <c r="L38" s="308">
        <f t="shared" si="19"/>
        <v>7902541.3950000005</v>
      </c>
    </row>
    <row r="39" spans="1:12" s="13" customFormat="1" ht="15" customHeight="1">
      <c r="A39" s="37">
        <v>4500</v>
      </c>
      <c r="B39" s="481" t="s">
        <v>66</v>
      </c>
      <c r="C39" s="481"/>
      <c r="D39" s="481"/>
      <c r="E39" s="309"/>
      <c r="F39" s="309"/>
      <c r="G39" s="309"/>
      <c r="H39" s="388">
        <f>'PRESUP.EGRESOS FUENTE FINANCIAM'!M229</f>
        <v>0</v>
      </c>
      <c r="I39" s="55" t="e">
        <f t="shared" si="0"/>
        <v>#DIV/0!</v>
      </c>
      <c r="J39" s="309"/>
      <c r="K39" s="309"/>
      <c r="L39" s="309"/>
    </row>
    <row r="40" spans="1:12" s="13" customFormat="1" ht="15" customHeight="1">
      <c r="A40" s="37">
        <v>4600</v>
      </c>
      <c r="B40" s="482" t="s">
        <v>67</v>
      </c>
      <c r="C40" s="483"/>
      <c r="D40" s="484"/>
      <c r="E40" s="309"/>
      <c r="F40" s="309"/>
      <c r="G40" s="309"/>
      <c r="H40" s="388">
        <f>'PRESUP.EGRESOS FUENTE FINANCIAM'!M233</f>
        <v>0</v>
      </c>
      <c r="I40" s="55" t="e">
        <f t="shared" si="0"/>
        <v>#DIV/0!</v>
      </c>
      <c r="J40" s="309"/>
      <c r="K40" s="309"/>
      <c r="L40" s="309"/>
    </row>
    <row r="41" spans="1:12" s="13" customFormat="1" ht="15" customHeight="1">
      <c r="A41" s="37">
        <v>4700</v>
      </c>
      <c r="B41" s="482" t="s">
        <v>68</v>
      </c>
      <c r="C41" s="483"/>
      <c r="D41" s="484"/>
      <c r="E41" s="309"/>
      <c r="F41" s="309"/>
      <c r="G41" s="309"/>
      <c r="H41" s="388">
        <f>'PRESUP.EGRESOS FUENTE FINANCIAM'!M241</f>
        <v>0</v>
      </c>
      <c r="I41" s="55" t="e">
        <f t="shared" si="0"/>
        <v>#DIV/0!</v>
      </c>
      <c r="J41" s="309"/>
      <c r="K41" s="309"/>
      <c r="L41" s="309"/>
    </row>
    <row r="42" spans="1:12" s="13" customFormat="1" ht="15" customHeight="1">
      <c r="A42" s="37">
        <v>4800</v>
      </c>
      <c r="B42" s="481" t="s">
        <v>69</v>
      </c>
      <c r="C42" s="481"/>
      <c r="D42" s="481"/>
      <c r="E42" s="309"/>
      <c r="F42" s="309"/>
      <c r="G42" s="309"/>
      <c r="H42" s="388">
        <f>'PRESUP.EGRESOS FUENTE FINANCIAM'!M243</f>
        <v>0</v>
      </c>
      <c r="I42" s="55" t="e">
        <f t="shared" si="0"/>
        <v>#DIV/0!</v>
      </c>
      <c r="J42" s="309"/>
      <c r="K42" s="309"/>
      <c r="L42" s="309"/>
    </row>
    <row r="43" spans="1:12" s="13" customFormat="1" ht="15" customHeight="1">
      <c r="A43" s="37">
        <v>4900</v>
      </c>
      <c r="B43" s="479" t="s">
        <v>70</v>
      </c>
      <c r="C43" s="479"/>
      <c r="D43" s="479"/>
      <c r="E43" s="308"/>
      <c r="F43" s="308"/>
      <c r="G43" s="308"/>
      <c r="H43" s="388">
        <f>'PRESUP.EGRESOS FUENTE FINANCIAM'!M249</f>
        <v>0</v>
      </c>
      <c r="I43" s="55" t="e">
        <f t="shared" si="0"/>
        <v>#DIV/0!</v>
      </c>
      <c r="J43" s="308"/>
      <c r="K43" s="308"/>
      <c r="L43" s="308"/>
    </row>
    <row r="44" spans="1:12" s="13" customFormat="1" ht="15" customHeight="1">
      <c r="A44" s="243">
        <v>5000</v>
      </c>
      <c r="B44" s="485" t="s">
        <v>71</v>
      </c>
      <c r="C44" s="485"/>
      <c r="D44" s="485"/>
      <c r="E44" s="310">
        <f>SUM(E45:E53)</f>
        <v>0</v>
      </c>
      <c r="F44" s="310">
        <f>SUM(F45:F53)</f>
        <v>0</v>
      </c>
      <c r="G44" s="310">
        <f>SUM(G45:G53)</f>
        <v>0</v>
      </c>
      <c r="H44" s="389">
        <f>SUM(H45:H53)</f>
        <v>2744272</v>
      </c>
      <c r="I44" s="244" t="e">
        <f t="shared" si="0"/>
        <v>#DIV/0!</v>
      </c>
      <c r="J44" s="310">
        <f>SUM(J45:J53)</f>
        <v>1283015</v>
      </c>
      <c r="K44" s="310">
        <f>SUM(K45:K53)</f>
        <v>1347165.75</v>
      </c>
      <c r="L44" s="310">
        <f>SUM(L45:L53)</f>
        <v>1414524.0375000001</v>
      </c>
    </row>
    <row r="45" spans="1:12" s="13" customFormat="1" ht="15" customHeight="1">
      <c r="A45" s="37">
        <v>5100</v>
      </c>
      <c r="B45" s="479" t="s">
        <v>72</v>
      </c>
      <c r="C45" s="479"/>
      <c r="D45" s="479"/>
      <c r="E45" s="308"/>
      <c r="F45" s="308"/>
      <c r="G45" s="308"/>
      <c r="H45" s="388">
        <f>'PRESUP.EGRESOS FUENTE FINANCIAM'!M254</f>
        <v>282119</v>
      </c>
      <c r="I45" s="55" t="e">
        <f t="shared" si="0"/>
        <v>#DIV/0!</v>
      </c>
      <c r="J45" s="308">
        <v>296225</v>
      </c>
      <c r="K45" s="308">
        <f t="shared" ref="K45:L45" si="20">J45*0.05+J45</f>
        <v>311036.25</v>
      </c>
      <c r="L45" s="308">
        <f t="shared" si="20"/>
        <v>326588.0625</v>
      </c>
    </row>
    <row r="46" spans="1:12" s="13" customFormat="1" ht="15" customHeight="1">
      <c r="A46" s="37">
        <v>5200</v>
      </c>
      <c r="B46" s="479" t="s">
        <v>73</v>
      </c>
      <c r="C46" s="479"/>
      <c r="D46" s="479"/>
      <c r="E46" s="308"/>
      <c r="F46" s="308"/>
      <c r="G46" s="308"/>
      <c r="H46" s="388">
        <f>'PRESUP.EGRESOS FUENTE FINANCIAM'!M261</f>
        <v>0</v>
      </c>
      <c r="I46" s="55" t="e">
        <f t="shared" si="0"/>
        <v>#DIV/0!</v>
      </c>
      <c r="J46" s="308"/>
      <c r="K46" s="308"/>
      <c r="L46" s="308"/>
    </row>
    <row r="47" spans="1:12" s="13" customFormat="1" ht="15" customHeight="1">
      <c r="A47" s="37">
        <v>5300</v>
      </c>
      <c r="B47" s="479" t="s">
        <v>74</v>
      </c>
      <c r="C47" s="479"/>
      <c r="D47" s="479"/>
      <c r="E47" s="308"/>
      <c r="F47" s="308"/>
      <c r="G47" s="308"/>
      <c r="H47" s="388">
        <f>'PRESUP.EGRESOS FUENTE FINANCIAM'!M266</f>
        <v>0</v>
      </c>
      <c r="I47" s="55" t="e">
        <f t="shared" si="0"/>
        <v>#DIV/0!</v>
      </c>
      <c r="J47" s="308"/>
      <c r="K47" s="308"/>
      <c r="L47" s="308"/>
    </row>
    <row r="48" spans="1:12" s="13" customFormat="1" ht="15" customHeight="1">
      <c r="A48" s="37">
        <v>5400</v>
      </c>
      <c r="B48" s="479" t="s">
        <v>75</v>
      </c>
      <c r="C48" s="479"/>
      <c r="D48" s="479"/>
      <c r="E48" s="308"/>
      <c r="F48" s="308"/>
      <c r="G48" s="308"/>
      <c r="H48" s="388">
        <f>'PRESUP.EGRESOS FUENTE FINANCIAM'!M269</f>
        <v>2462153</v>
      </c>
      <c r="I48" s="55" t="e">
        <f t="shared" si="0"/>
        <v>#DIV/0!</v>
      </c>
      <c r="J48" s="308">
        <v>986790</v>
      </c>
      <c r="K48" s="308">
        <f t="shared" ref="K48:L48" si="21">J48*0.05+J48</f>
        <v>1036129.5</v>
      </c>
      <c r="L48" s="308">
        <f t="shared" si="21"/>
        <v>1087935.9750000001</v>
      </c>
    </row>
    <row r="49" spans="1:260" s="13" customFormat="1" ht="15" customHeight="1">
      <c r="A49" s="37">
        <v>5500</v>
      </c>
      <c r="B49" s="481" t="s">
        <v>76</v>
      </c>
      <c r="C49" s="481"/>
      <c r="D49" s="481"/>
      <c r="E49" s="309"/>
      <c r="F49" s="309"/>
      <c r="G49" s="309"/>
      <c r="H49" s="388">
        <f>'PRESUP.EGRESOS FUENTE FINANCIAM'!M276</f>
        <v>0</v>
      </c>
      <c r="I49" s="55" t="e">
        <f t="shared" si="0"/>
        <v>#DIV/0!</v>
      </c>
      <c r="J49" s="309"/>
      <c r="K49" s="309"/>
      <c r="L49" s="309"/>
    </row>
    <row r="50" spans="1:260" s="13" customFormat="1" ht="15" customHeight="1">
      <c r="A50" s="37">
        <v>5600</v>
      </c>
      <c r="B50" s="482" t="s">
        <v>77</v>
      </c>
      <c r="C50" s="483"/>
      <c r="D50" s="484"/>
      <c r="E50" s="309"/>
      <c r="F50" s="309"/>
      <c r="G50" s="309"/>
      <c r="H50" s="388">
        <f>'PRESUP.EGRESOS FUENTE FINANCIAM'!M278</f>
        <v>0</v>
      </c>
      <c r="I50" s="55" t="e">
        <f t="shared" si="0"/>
        <v>#DIV/0!</v>
      </c>
      <c r="J50" s="309"/>
      <c r="K50" s="309"/>
      <c r="L50" s="309"/>
    </row>
    <row r="51" spans="1:260" s="13" customFormat="1" ht="15" customHeight="1">
      <c r="A51" s="37">
        <v>5700</v>
      </c>
      <c r="B51" s="482" t="s">
        <v>78</v>
      </c>
      <c r="C51" s="483"/>
      <c r="D51" s="484"/>
      <c r="E51" s="309"/>
      <c r="F51" s="309"/>
      <c r="G51" s="309"/>
      <c r="H51" s="388">
        <f>'PRESUP.EGRESOS FUENTE FINANCIAM'!M287</f>
        <v>0</v>
      </c>
      <c r="I51" s="55" t="e">
        <f t="shared" si="0"/>
        <v>#DIV/0!</v>
      </c>
      <c r="J51" s="309"/>
      <c r="K51" s="309"/>
      <c r="L51" s="309"/>
    </row>
    <row r="52" spans="1:260" s="13" customFormat="1" ht="15" customHeight="1">
      <c r="A52" s="37">
        <v>5800</v>
      </c>
      <c r="B52" s="481" t="s">
        <v>79</v>
      </c>
      <c r="C52" s="481"/>
      <c r="D52" s="481"/>
      <c r="E52" s="309"/>
      <c r="F52" s="309"/>
      <c r="G52" s="309"/>
      <c r="H52" s="388">
        <f>'PRESUP.EGRESOS FUENTE FINANCIAM'!M297</f>
        <v>0</v>
      </c>
      <c r="I52" s="55" t="e">
        <f t="shared" si="0"/>
        <v>#DIV/0!</v>
      </c>
      <c r="J52" s="309"/>
      <c r="K52" s="309"/>
      <c r="L52" s="309"/>
    </row>
    <row r="53" spans="1:260" s="13" customFormat="1" ht="15" customHeight="1">
      <c r="A53" s="37">
        <v>5900</v>
      </c>
      <c r="B53" s="479" t="s">
        <v>80</v>
      </c>
      <c r="C53" s="479"/>
      <c r="D53" s="479"/>
      <c r="E53" s="308"/>
      <c r="F53" s="308"/>
      <c r="G53" s="308"/>
      <c r="H53" s="388">
        <f>'PRESUP.EGRESOS FUENTE FINANCIAM'!M302</f>
        <v>0</v>
      </c>
      <c r="I53" s="55" t="e">
        <f t="shared" si="0"/>
        <v>#DIV/0!</v>
      </c>
      <c r="J53" s="308"/>
      <c r="K53" s="308"/>
      <c r="L53" s="308"/>
    </row>
    <row r="54" spans="1:260" s="13" customFormat="1" ht="15" customHeight="1">
      <c r="A54" s="243">
        <v>6000</v>
      </c>
      <c r="B54" s="485" t="s">
        <v>81</v>
      </c>
      <c r="C54" s="485"/>
      <c r="D54" s="485"/>
      <c r="E54" s="310">
        <f>SUM(E55:E57)</f>
        <v>0</v>
      </c>
      <c r="F54" s="310">
        <f>SUM(F55:F57)</f>
        <v>6606905</v>
      </c>
      <c r="G54" s="310">
        <f>SUM(G55:G57)</f>
        <v>10421158</v>
      </c>
      <c r="H54" s="389">
        <f>SUM(H55:H57)</f>
        <v>8442354</v>
      </c>
      <c r="I54" s="244">
        <f t="shared" si="0"/>
        <v>-0.18988331239196254</v>
      </c>
      <c r="J54" s="310">
        <f>SUM(J55:J57)</f>
        <v>8124116</v>
      </c>
      <c r="K54" s="310">
        <f>SUM(K55:K57)</f>
        <v>8530321.8000000007</v>
      </c>
      <c r="L54" s="310">
        <f>SUM(L55:L57)</f>
        <v>8956837.8900000006</v>
      </c>
    </row>
    <row r="55" spans="1:260" s="13" customFormat="1" ht="15" customHeight="1">
      <c r="A55" s="49">
        <v>6100</v>
      </c>
      <c r="B55" s="494" t="s">
        <v>82</v>
      </c>
      <c r="C55" s="494"/>
      <c r="D55" s="494"/>
      <c r="E55" s="311"/>
      <c r="F55" s="311">
        <v>6606905</v>
      </c>
      <c r="G55" s="311">
        <v>10421158</v>
      </c>
      <c r="H55" s="388">
        <f>'PRESUP.EGRESOS FUENTE FINANCIAM'!M313</f>
        <v>4582192</v>
      </c>
      <c r="I55" s="55">
        <f t="shared" si="0"/>
        <v>-0.56029915293482735</v>
      </c>
      <c r="J55" s="311">
        <v>5641273</v>
      </c>
      <c r="K55" s="308">
        <f t="shared" ref="K55:L56" si="22">J55*0.05+J55</f>
        <v>5923336.6500000004</v>
      </c>
      <c r="L55" s="308">
        <f t="shared" si="22"/>
        <v>6219503.4824999999</v>
      </c>
    </row>
    <row r="56" spans="1:260" s="13" customFormat="1" ht="15" customHeight="1">
      <c r="A56" s="37">
        <v>6200</v>
      </c>
      <c r="B56" s="479" t="s">
        <v>83</v>
      </c>
      <c r="C56" s="479"/>
      <c r="D56" s="479"/>
      <c r="E56" s="308"/>
      <c r="F56" s="308"/>
      <c r="G56" s="308">
        <v>0</v>
      </c>
      <c r="H56" s="388">
        <f>'PRESUP.EGRESOS FUENTE FINANCIAM'!M322</f>
        <v>3860162</v>
      </c>
      <c r="I56" s="55" t="e">
        <f t="shared" si="0"/>
        <v>#DIV/0!</v>
      </c>
      <c r="J56" s="308">
        <v>2482843</v>
      </c>
      <c r="K56" s="308">
        <f t="shared" si="22"/>
        <v>2606985.15</v>
      </c>
      <c r="L56" s="308">
        <f t="shared" si="22"/>
        <v>2737334.4074999997</v>
      </c>
    </row>
    <row r="57" spans="1:260" s="13" customFormat="1" ht="15" customHeight="1">
      <c r="A57" s="37">
        <v>6300</v>
      </c>
      <c r="B57" s="479" t="s">
        <v>84</v>
      </c>
      <c r="C57" s="479"/>
      <c r="D57" s="479"/>
      <c r="E57" s="308"/>
      <c r="F57" s="308"/>
      <c r="G57" s="308"/>
      <c r="H57" s="388">
        <f>'PRESUP.EGRESOS FUENTE FINANCIAM'!M331</f>
        <v>0</v>
      </c>
      <c r="I57" s="55" t="e">
        <f t="shared" si="0"/>
        <v>#DIV/0!</v>
      </c>
      <c r="J57" s="308"/>
      <c r="K57" s="308"/>
      <c r="L57" s="308"/>
    </row>
    <row r="58" spans="1:260" s="13" customFormat="1" ht="15.75" customHeight="1">
      <c r="A58" s="243">
        <v>7000</v>
      </c>
      <c r="B58" s="485" t="s">
        <v>85</v>
      </c>
      <c r="C58" s="485"/>
      <c r="D58" s="485"/>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c r="A59" s="37">
        <v>7100</v>
      </c>
      <c r="B59" s="479" t="s">
        <v>86</v>
      </c>
      <c r="C59" s="479"/>
      <c r="D59" s="479"/>
      <c r="E59" s="315"/>
      <c r="F59" s="315"/>
      <c r="G59" s="315"/>
      <c r="H59" s="388">
        <f>'PRESUP.EGRESOS FUENTE FINANCIAM'!M335</f>
        <v>0</v>
      </c>
      <c r="I59" s="55" t="e">
        <f t="shared" si="0"/>
        <v>#DIV/0!</v>
      </c>
      <c r="J59" s="315"/>
      <c r="K59" s="315"/>
      <c r="L59" s="315"/>
      <c r="M59" s="14">
        <v>61</v>
      </c>
      <c r="N59" s="492"/>
      <c r="O59" s="492"/>
      <c r="P59" s="493"/>
      <c r="Q59" s="15">
        <v>61</v>
      </c>
      <c r="R59" s="492"/>
      <c r="S59" s="492"/>
      <c r="T59" s="493"/>
      <c r="U59" s="15">
        <v>61</v>
      </c>
      <c r="V59" s="492"/>
      <c r="W59" s="492"/>
      <c r="X59" s="493"/>
      <c r="Y59" s="15">
        <v>61</v>
      </c>
      <c r="Z59" s="492"/>
      <c r="AA59" s="492"/>
      <c r="AB59" s="493"/>
      <c r="AC59" s="15">
        <v>61</v>
      </c>
      <c r="AD59" s="492"/>
      <c r="AE59" s="492"/>
      <c r="AF59" s="493"/>
      <c r="AG59" s="15">
        <v>61</v>
      </c>
      <c r="AH59" s="492"/>
      <c r="AI59" s="492"/>
      <c r="AJ59" s="493"/>
      <c r="AK59" s="15">
        <v>61</v>
      </c>
      <c r="AL59" s="492"/>
      <c r="AM59" s="492"/>
      <c r="AN59" s="493"/>
      <c r="AO59" s="15">
        <v>61</v>
      </c>
      <c r="AP59" s="492"/>
      <c r="AQ59" s="492"/>
      <c r="AR59" s="493"/>
      <c r="AS59" s="15">
        <v>61</v>
      </c>
      <c r="AT59" s="492"/>
      <c r="AU59" s="492"/>
      <c r="AV59" s="493"/>
      <c r="AW59" s="15">
        <v>61</v>
      </c>
      <c r="AX59" s="492"/>
      <c r="AY59" s="492"/>
      <c r="AZ59" s="493"/>
      <c r="BA59" s="15">
        <v>61</v>
      </c>
      <c r="BB59" s="492"/>
      <c r="BC59" s="492"/>
      <c r="BD59" s="493"/>
      <c r="BE59" s="15">
        <v>61</v>
      </c>
      <c r="BF59" s="492"/>
      <c r="BG59" s="492"/>
      <c r="BH59" s="493"/>
      <c r="BI59" s="15">
        <v>61</v>
      </c>
      <c r="BJ59" s="492"/>
      <c r="BK59" s="492"/>
      <c r="BL59" s="493"/>
      <c r="BM59" s="15">
        <v>61</v>
      </c>
      <c r="BN59" s="492"/>
      <c r="BO59" s="492"/>
      <c r="BP59" s="493"/>
      <c r="BQ59" s="15">
        <v>61</v>
      </c>
      <c r="BR59" s="492"/>
      <c r="BS59" s="492"/>
      <c r="BT59" s="493"/>
      <c r="BU59" s="15">
        <v>61</v>
      </c>
      <c r="BV59" s="492"/>
      <c r="BW59" s="492"/>
      <c r="BX59" s="493"/>
      <c r="BY59" s="15">
        <v>61</v>
      </c>
      <c r="BZ59" s="492"/>
      <c r="CA59" s="492"/>
      <c r="CB59" s="493"/>
      <c r="CC59" s="15">
        <v>61</v>
      </c>
      <c r="CD59" s="492"/>
      <c r="CE59" s="492"/>
      <c r="CF59" s="493"/>
      <c r="CG59" s="15">
        <v>61</v>
      </c>
      <c r="CH59" s="492"/>
      <c r="CI59" s="492"/>
      <c r="CJ59" s="493"/>
      <c r="CK59" s="15">
        <v>61</v>
      </c>
      <c r="CL59" s="492"/>
      <c r="CM59" s="492"/>
      <c r="CN59" s="493"/>
      <c r="CO59" s="15">
        <v>61</v>
      </c>
      <c r="CP59" s="492"/>
      <c r="CQ59" s="492"/>
      <c r="CR59" s="493"/>
      <c r="CS59" s="15">
        <v>61</v>
      </c>
      <c r="CT59" s="492"/>
      <c r="CU59" s="492"/>
      <c r="CV59" s="493"/>
      <c r="CW59" s="15">
        <v>61</v>
      </c>
      <c r="CX59" s="492"/>
      <c r="CY59" s="492"/>
      <c r="CZ59" s="493"/>
      <c r="DA59" s="15">
        <v>61</v>
      </c>
      <c r="DB59" s="492"/>
      <c r="DC59" s="492"/>
      <c r="DD59" s="493"/>
      <c r="DE59" s="15">
        <v>61</v>
      </c>
      <c r="DF59" s="492"/>
      <c r="DG59" s="492"/>
      <c r="DH59" s="493"/>
      <c r="DI59" s="15">
        <v>61</v>
      </c>
      <c r="DJ59" s="492"/>
      <c r="DK59" s="492"/>
      <c r="DL59" s="493"/>
      <c r="DM59" s="15">
        <v>61</v>
      </c>
      <c r="DN59" s="492"/>
      <c r="DO59" s="492"/>
      <c r="DP59" s="493"/>
      <c r="DQ59" s="15">
        <v>61</v>
      </c>
      <c r="DR59" s="492"/>
      <c r="DS59" s="492"/>
      <c r="DT59" s="493"/>
      <c r="DU59" s="15">
        <v>61</v>
      </c>
      <c r="DV59" s="492"/>
      <c r="DW59" s="492"/>
      <c r="DX59" s="493"/>
      <c r="DY59" s="15">
        <v>61</v>
      </c>
      <c r="DZ59" s="492"/>
      <c r="EA59" s="492"/>
      <c r="EB59" s="493"/>
      <c r="EC59" s="15">
        <v>61</v>
      </c>
      <c r="ED59" s="492"/>
      <c r="EE59" s="492"/>
      <c r="EF59" s="493"/>
      <c r="EG59" s="15">
        <v>61</v>
      </c>
      <c r="EH59" s="492"/>
      <c r="EI59" s="492"/>
      <c r="EJ59" s="493"/>
      <c r="EK59" s="15">
        <v>61</v>
      </c>
      <c r="EL59" s="492"/>
      <c r="EM59" s="492"/>
      <c r="EN59" s="493"/>
      <c r="EO59" s="15">
        <v>61</v>
      </c>
      <c r="EP59" s="492"/>
      <c r="EQ59" s="492"/>
      <c r="ER59" s="493"/>
      <c r="ES59" s="15">
        <v>61</v>
      </c>
      <c r="ET59" s="492"/>
      <c r="EU59" s="492"/>
      <c r="EV59" s="493"/>
      <c r="EW59" s="15">
        <v>61</v>
      </c>
      <c r="EX59" s="492"/>
      <c r="EY59" s="492"/>
      <c r="EZ59" s="493"/>
      <c r="FA59" s="15">
        <v>61</v>
      </c>
      <c r="FB59" s="492"/>
      <c r="FC59" s="492"/>
      <c r="FD59" s="493"/>
      <c r="FE59" s="15">
        <v>61</v>
      </c>
      <c r="FF59" s="492"/>
      <c r="FG59" s="492"/>
      <c r="FH59" s="493"/>
      <c r="FI59" s="15">
        <v>61</v>
      </c>
      <c r="FJ59" s="492"/>
      <c r="FK59" s="492"/>
      <c r="FL59" s="493"/>
      <c r="FM59" s="15">
        <v>61</v>
      </c>
      <c r="FN59" s="492"/>
      <c r="FO59" s="492"/>
      <c r="FP59" s="493"/>
      <c r="FQ59" s="15">
        <v>61</v>
      </c>
      <c r="FR59" s="492"/>
      <c r="FS59" s="492"/>
      <c r="FT59" s="493"/>
      <c r="FU59" s="15">
        <v>61</v>
      </c>
      <c r="FV59" s="492"/>
      <c r="FW59" s="492"/>
      <c r="FX59" s="493"/>
      <c r="FY59" s="15">
        <v>61</v>
      </c>
      <c r="FZ59" s="492"/>
      <c r="GA59" s="492"/>
      <c r="GB59" s="493"/>
      <c r="GC59" s="15">
        <v>61</v>
      </c>
      <c r="GD59" s="492"/>
      <c r="GE59" s="492"/>
      <c r="GF59" s="493"/>
      <c r="GG59" s="15">
        <v>61</v>
      </c>
      <c r="GH59" s="492"/>
      <c r="GI59" s="492"/>
      <c r="GJ59" s="493"/>
      <c r="GK59" s="15">
        <v>61</v>
      </c>
      <c r="GL59" s="492"/>
      <c r="GM59" s="492"/>
      <c r="GN59" s="493"/>
      <c r="GO59" s="15">
        <v>61</v>
      </c>
      <c r="GP59" s="492"/>
      <c r="GQ59" s="492"/>
      <c r="GR59" s="493"/>
      <c r="GS59" s="15">
        <v>61</v>
      </c>
      <c r="GT59" s="492"/>
      <c r="GU59" s="492"/>
      <c r="GV59" s="493"/>
      <c r="GW59" s="15">
        <v>61</v>
      </c>
      <c r="GX59" s="492"/>
      <c r="GY59" s="492"/>
      <c r="GZ59" s="493"/>
      <c r="HA59" s="15">
        <v>61</v>
      </c>
      <c r="HB59" s="492"/>
      <c r="HC59" s="492"/>
      <c r="HD59" s="493"/>
      <c r="HE59" s="15">
        <v>61</v>
      </c>
      <c r="HF59" s="492"/>
      <c r="HG59" s="492"/>
      <c r="HH59" s="493"/>
      <c r="HI59" s="15">
        <v>61</v>
      </c>
      <c r="HJ59" s="492"/>
      <c r="HK59" s="492"/>
      <c r="HL59" s="493"/>
      <c r="HM59" s="15">
        <v>61</v>
      </c>
      <c r="HN59" s="492"/>
      <c r="HO59" s="492"/>
      <c r="HP59" s="493"/>
      <c r="HQ59" s="15">
        <v>61</v>
      </c>
      <c r="HR59" s="492"/>
      <c r="HS59" s="492"/>
      <c r="HT59" s="493"/>
      <c r="HU59" s="15">
        <v>61</v>
      </c>
      <c r="HV59" s="492"/>
      <c r="HW59" s="492"/>
      <c r="HX59" s="493"/>
      <c r="HY59" s="15">
        <v>61</v>
      </c>
      <c r="HZ59" s="492"/>
      <c r="IA59" s="492"/>
      <c r="IB59" s="493"/>
      <c r="IC59" s="15">
        <v>61</v>
      </c>
      <c r="ID59" s="492"/>
      <c r="IE59" s="492"/>
      <c r="IF59" s="493"/>
      <c r="IG59" s="15">
        <v>61</v>
      </c>
      <c r="IH59" s="492"/>
      <c r="II59" s="492"/>
      <c r="IJ59" s="493"/>
      <c r="IK59" s="15">
        <v>61</v>
      </c>
      <c r="IL59" s="492"/>
      <c r="IM59" s="492"/>
      <c r="IN59" s="493"/>
      <c r="IO59" s="15">
        <v>61</v>
      </c>
      <c r="IP59" s="492"/>
      <c r="IQ59" s="492"/>
      <c r="IR59" s="493"/>
      <c r="IS59" s="15">
        <v>61</v>
      </c>
      <c r="IT59" s="492"/>
      <c r="IU59" s="492"/>
      <c r="IV59" s="493"/>
      <c r="IW59" s="15">
        <v>61</v>
      </c>
      <c r="IX59" s="492"/>
      <c r="IY59" s="492"/>
      <c r="IZ59" s="493"/>
    </row>
    <row r="60" spans="1:260" s="13" customFormat="1" ht="15.75">
      <c r="A60" s="37">
        <v>7200</v>
      </c>
      <c r="B60" s="479" t="s">
        <v>87</v>
      </c>
      <c r="C60" s="479"/>
      <c r="D60" s="479"/>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79" t="s">
        <v>88</v>
      </c>
      <c r="C61" s="479"/>
      <c r="D61" s="479"/>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79" t="s">
        <v>89</v>
      </c>
      <c r="C62" s="479"/>
      <c r="D62" s="479"/>
      <c r="E62" s="315"/>
      <c r="F62" s="315"/>
      <c r="G62" s="315"/>
      <c r="H62" s="388">
        <f>'PRESUP.EGRESOS FUENTE FINANCIAM'!M355</f>
        <v>0</v>
      </c>
      <c r="I62" s="55" t="e">
        <f t="shared" si="0"/>
        <v>#DIV/0!</v>
      </c>
      <c r="J62" s="315"/>
      <c r="K62" s="315"/>
      <c r="L62" s="315"/>
      <c r="M62" s="14">
        <v>62</v>
      </c>
      <c r="N62" s="492"/>
      <c r="O62" s="492"/>
      <c r="P62" s="493"/>
      <c r="Q62" s="15">
        <v>62</v>
      </c>
      <c r="R62" s="492"/>
      <c r="S62" s="492"/>
      <c r="T62" s="493"/>
      <c r="U62" s="15">
        <v>62</v>
      </c>
      <c r="V62" s="492"/>
      <c r="W62" s="492"/>
      <c r="X62" s="493"/>
      <c r="Y62" s="15">
        <v>62</v>
      </c>
      <c r="Z62" s="492"/>
      <c r="AA62" s="492"/>
      <c r="AB62" s="493"/>
      <c r="AC62" s="15">
        <v>62</v>
      </c>
      <c r="AD62" s="492"/>
      <c r="AE62" s="492"/>
      <c r="AF62" s="493"/>
      <c r="AG62" s="15">
        <v>62</v>
      </c>
      <c r="AH62" s="492"/>
      <c r="AI62" s="492"/>
      <c r="AJ62" s="493"/>
      <c r="AK62" s="15">
        <v>62</v>
      </c>
      <c r="AL62" s="492"/>
      <c r="AM62" s="492"/>
      <c r="AN62" s="493"/>
      <c r="AO62" s="15">
        <v>62</v>
      </c>
      <c r="AP62" s="492"/>
      <c r="AQ62" s="492"/>
      <c r="AR62" s="493"/>
      <c r="AS62" s="15">
        <v>62</v>
      </c>
      <c r="AT62" s="492"/>
      <c r="AU62" s="492"/>
      <c r="AV62" s="493"/>
      <c r="AW62" s="15">
        <v>62</v>
      </c>
      <c r="AX62" s="492"/>
      <c r="AY62" s="492"/>
      <c r="AZ62" s="493"/>
      <c r="BA62" s="15">
        <v>62</v>
      </c>
      <c r="BB62" s="492"/>
      <c r="BC62" s="492"/>
      <c r="BD62" s="493"/>
      <c r="BE62" s="15">
        <v>62</v>
      </c>
      <c r="BF62" s="492"/>
      <c r="BG62" s="492"/>
      <c r="BH62" s="493"/>
      <c r="BI62" s="15">
        <v>62</v>
      </c>
      <c r="BJ62" s="492"/>
      <c r="BK62" s="492"/>
      <c r="BL62" s="493"/>
      <c r="BM62" s="15">
        <v>62</v>
      </c>
      <c r="BN62" s="492"/>
      <c r="BO62" s="492"/>
      <c r="BP62" s="493"/>
      <c r="BQ62" s="15">
        <v>62</v>
      </c>
      <c r="BR62" s="492"/>
      <c r="BS62" s="492"/>
      <c r="BT62" s="493"/>
      <c r="BU62" s="15">
        <v>62</v>
      </c>
      <c r="BV62" s="492"/>
      <c r="BW62" s="492"/>
      <c r="BX62" s="493"/>
      <c r="BY62" s="15">
        <v>62</v>
      </c>
      <c r="BZ62" s="492"/>
      <c r="CA62" s="492"/>
      <c r="CB62" s="493"/>
      <c r="CC62" s="15">
        <v>62</v>
      </c>
      <c r="CD62" s="492"/>
      <c r="CE62" s="492"/>
      <c r="CF62" s="493"/>
      <c r="CG62" s="15">
        <v>62</v>
      </c>
      <c r="CH62" s="492"/>
      <c r="CI62" s="492"/>
      <c r="CJ62" s="493"/>
      <c r="CK62" s="15">
        <v>62</v>
      </c>
      <c r="CL62" s="492"/>
      <c r="CM62" s="492"/>
      <c r="CN62" s="493"/>
      <c r="CO62" s="15">
        <v>62</v>
      </c>
      <c r="CP62" s="492"/>
      <c r="CQ62" s="492"/>
      <c r="CR62" s="493"/>
      <c r="CS62" s="15">
        <v>62</v>
      </c>
      <c r="CT62" s="492"/>
      <c r="CU62" s="492"/>
      <c r="CV62" s="493"/>
      <c r="CW62" s="15">
        <v>62</v>
      </c>
      <c r="CX62" s="492"/>
      <c r="CY62" s="492"/>
      <c r="CZ62" s="493"/>
      <c r="DA62" s="15">
        <v>62</v>
      </c>
      <c r="DB62" s="492"/>
      <c r="DC62" s="492"/>
      <c r="DD62" s="493"/>
      <c r="DE62" s="15">
        <v>62</v>
      </c>
      <c r="DF62" s="492"/>
      <c r="DG62" s="492"/>
      <c r="DH62" s="493"/>
      <c r="DI62" s="15">
        <v>62</v>
      </c>
      <c r="DJ62" s="492"/>
      <c r="DK62" s="492"/>
      <c r="DL62" s="493"/>
      <c r="DM62" s="15">
        <v>62</v>
      </c>
      <c r="DN62" s="492"/>
      <c r="DO62" s="492"/>
      <c r="DP62" s="493"/>
      <c r="DQ62" s="15">
        <v>62</v>
      </c>
      <c r="DR62" s="492"/>
      <c r="DS62" s="492"/>
      <c r="DT62" s="493"/>
      <c r="DU62" s="15">
        <v>62</v>
      </c>
      <c r="DV62" s="492"/>
      <c r="DW62" s="492"/>
      <c r="DX62" s="493"/>
      <c r="DY62" s="15">
        <v>62</v>
      </c>
      <c r="DZ62" s="492"/>
      <c r="EA62" s="492"/>
      <c r="EB62" s="493"/>
      <c r="EC62" s="15">
        <v>62</v>
      </c>
      <c r="ED62" s="492"/>
      <c r="EE62" s="492"/>
      <c r="EF62" s="493"/>
      <c r="EG62" s="15">
        <v>62</v>
      </c>
      <c r="EH62" s="492"/>
      <c r="EI62" s="492"/>
      <c r="EJ62" s="493"/>
      <c r="EK62" s="15">
        <v>62</v>
      </c>
      <c r="EL62" s="492"/>
      <c r="EM62" s="492"/>
      <c r="EN62" s="493"/>
      <c r="EO62" s="15">
        <v>62</v>
      </c>
      <c r="EP62" s="492"/>
      <c r="EQ62" s="492"/>
      <c r="ER62" s="493"/>
      <c r="ES62" s="15">
        <v>62</v>
      </c>
      <c r="ET62" s="492"/>
      <c r="EU62" s="492"/>
      <c r="EV62" s="493"/>
      <c r="EW62" s="15">
        <v>62</v>
      </c>
      <c r="EX62" s="492"/>
      <c r="EY62" s="492"/>
      <c r="EZ62" s="493"/>
      <c r="FA62" s="15">
        <v>62</v>
      </c>
      <c r="FB62" s="492"/>
      <c r="FC62" s="492"/>
      <c r="FD62" s="493"/>
      <c r="FE62" s="15">
        <v>62</v>
      </c>
      <c r="FF62" s="492"/>
      <c r="FG62" s="492"/>
      <c r="FH62" s="493"/>
      <c r="FI62" s="15">
        <v>62</v>
      </c>
      <c r="FJ62" s="492"/>
      <c r="FK62" s="492"/>
      <c r="FL62" s="493"/>
      <c r="FM62" s="15">
        <v>62</v>
      </c>
      <c r="FN62" s="492"/>
      <c r="FO62" s="492"/>
      <c r="FP62" s="493"/>
      <c r="FQ62" s="15">
        <v>62</v>
      </c>
      <c r="FR62" s="492"/>
      <c r="FS62" s="492"/>
      <c r="FT62" s="493"/>
      <c r="FU62" s="15">
        <v>62</v>
      </c>
      <c r="FV62" s="492"/>
      <c r="FW62" s="492"/>
      <c r="FX62" s="493"/>
      <c r="FY62" s="15">
        <v>62</v>
      </c>
      <c r="FZ62" s="492"/>
      <c r="GA62" s="492"/>
      <c r="GB62" s="493"/>
      <c r="GC62" s="15">
        <v>62</v>
      </c>
      <c r="GD62" s="492"/>
      <c r="GE62" s="492"/>
      <c r="GF62" s="493"/>
      <c r="GG62" s="15">
        <v>62</v>
      </c>
      <c r="GH62" s="492"/>
      <c r="GI62" s="492"/>
      <c r="GJ62" s="493"/>
      <c r="GK62" s="15">
        <v>62</v>
      </c>
      <c r="GL62" s="492"/>
      <c r="GM62" s="492"/>
      <c r="GN62" s="493"/>
      <c r="GO62" s="15">
        <v>62</v>
      </c>
      <c r="GP62" s="492"/>
      <c r="GQ62" s="492"/>
      <c r="GR62" s="493"/>
      <c r="GS62" s="15">
        <v>62</v>
      </c>
      <c r="GT62" s="492"/>
      <c r="GU62" s="492"/>
      <c r="GV62" s="493"/>
      <c r="GW62" s="15">
        <v>62</v>
      </c>
      <c r="GX62" s="492"/>
      <c r="GY62" s="492"/>
      <c r="GZ62" s="493"/>
      <c r="HA62" s="15">
        <v>62</v>
      </c>
      <c r="HB62" s="492"/>
      <c r="HC62" s="492"/>
      <c r="HD62" s="493"/>
      <c r="HE62" s="15">
        <v>62</v>
      </c>
      <c r="HF62" s="492"/>
      <c r="HG62" s="492"/>
      <c r="HH62" s="493"/>
      <c r="HI62" s="15">
        <v>62</v>
      </c>
      <c r="HJ62" s="492"/>
      <c r="HK62" s="492"/>
      <c r="HL62" s="493"/>
      <c r="HM62" s="15">
        <v>62</v>
      </c>
      <c r="HN62" s="492"/>
      <c r="HO62" s="492"/>
      <c r="HP62" s="493"/>
      <c r="HQ62" s="15">
        <v>62</v>
      </c>
      <c r="HR62" s="492"/>
      <c r="HS62" s="492"/>
      <c r="HT62" s="493"/>
      <c r="HU62" s="15">
        <v>62</v>
      </c>
      <c r="HV62" s="492"/>
      <c r="HW62" s="492"/>
      <c r="HX62" s="493"/>
      <c r="HY62" s="15">
        <v>62</v>
      </c>
      <c r="HZ62" s="492"/>
      <c r="IA62" s="492"/>
      <c r="IB62" s="493"/>
      <c r="IC62" s="15">
        <v>62</v>
      </c>
      <c r="ID62" s="492"/>
      <c r="IE62" s="492"/>
      <c r="IF62" s="493"/>
      <c r="IG62" s="15">
        <v>62</v>
      </c>
      <c r="IH62" s="492"/>
      <c r="II62" s="492"/>
      <c r="IJ62" s="493"/>
      <c r="IK62" s="15">
        <v>62</v>
      </c>
      <c r="IL62" s="492"/>
      <c r="IM62" s="492"/>
      <c r="IN62" s="493"/>
      <c r="IO62" s="15">
        <v>62</v>
      </c>
      <c r="IP62" s="492"/>
      <c r="IQ62" s="492"/>
      <c r="IR62" s="493"/>
      <c r="IS62" s="15">
        <v>62</v>
      </c>
      <c r="IT62" s="492"/>
      <c r="IU62" s="492"/>
      <c r="IV62" s="493"/>
      <c r="IW62" s="15">
        <v>62</v>
      </c>
      <c r="IX62" s="492"/>
      <c r="IY62" s="492"/>
      <c r="IZ62" s="493"/>
    </row>
    <row r="63" spans="1:260" s="13" customFormat="1" ht="15" customHeight="1">
      <c r="A63" s="37">
        <v>7500</v>
      </c>
      <c r="B63" s="479" t="s">
        <v>90</v>
      </c>
      <c r="C63" s="479"/>
      <c r="D63" s="479"/>
      <c r="E63" s="316"/>
      <c r="F63" s="316"/>
      <c r="G63" s="316"/>
      <c r="H63" s="388">
        <f>'PRESUP.EGRESOS FUENTE FINANCIAM'!M365</f>
        <v>0</v>
      </c>
      <c r="I63" s="55" t="e">
        <f t="shared" si="0"/>
        <v>#DIV/0!</v>
      </c>
      <c r="J63" s="316"/>
      <c r="K63" s="316"/>
      <c r="L63" s="316"/>
    </row>
    <row r="64" spans="1:260" s="13" customFormat="1" ht="15" customHeight="1">
      <c r="A64" s="37">
        <v>7600</v>
      </c>
      <c r="B64" s="479" t="s">
        <v>91</v>
      </c>
      <c r="C64" s="479"/>
      <c r="D64" s="479"/>
      <c r="E64" s="316"/>
      <c r="F64" s="316"/>
      <c r="G64" s="316"/>
      <c r="H64" s="388">
        <f>'PRESUP.EGRESOS FUENTE FINANCIAM'!M375</f>
        <v>0</v>
      </c>
      <c r="I64" s="55" t="e">
        <f t="shared" si="0"/>
        <v>#DIV/0!</v>
      </c>
      <c r="J64" s="316"/>
      <c r="K64" s="316"/>
      <c r="L64" s="316"/>
    </row>
    <row r="65" spans="1:12" s="13" customFormat="1" ht="15" customHeight="1">
      <c r="A65" s="37">
        <v>7900</v>
      </c>
      <c r="B65" s="479" t="s">
        <v>92</v>
      </c>
      <c r="C65" s="479"/>
      <c r="D65" s="479"/>
      <c r="E65" s="316"/>
      <c r="F65" s="316"/>
      <c r="G65" s="316"/>
      <c r="H65" s="388">
        <f>'PRESUP.EGRESOS FUENTE FINANCIAM'!M378</f>
        <v>0</v>
      </c>
      <c r="I65" s="55" t="e">
        <f t="shared" si="0"/>
        <v>#DIV/0!</v>
      </c>
      <c r="J65" s="316"/>
      <c r="K65" s="316"/>
      <c r="L65" s="316"/>
    </row>
    <row r="66" spans="1:12" s="13" customFormat="1" ht="15.75" customHeight="1">
      <c r="A66" s="243">
        <v>8000</v>
      </c>
      <c r="B66" s="485" t="s">
        <v>21</v>
      </c>
      <c r="C66" s="485"/>
      <c r="D66" s="485"/>
      <c r="E66" s="312">
        <f>SUM(E67:E69)</f>
        <v>0</v>
      </c>
      <c r="F66" s="312">
        <f>SUM(F67:F69)</f>
        <v>428125</v>
      </c>
      <c r="G66" s="312">
        <f>SUM(G67:G69)</f>
        <v>0</v>
      </c>
      <c r="H66" s="389">
        <f>SUM(H67:H69)</f>
        <v>0</v>
      </c>
      <c r="I66" s="244" t="e">
        <f t="shared" si="0"/>
        <v>#DIV/0!</v>
      </c>
      <c r="J66" s="312">
        <f>SUM(J67:J69)</f>
        <v>0</v>
      </c>
      <c r="K66" s="312">
        <f>SUM(K67:K69)</f>
        <v>0</v>
      </c>
      <c r="L66" s="312">
        <f>SUM(L67:L69)</f>
        <v>0</v>
      </c>
    </row>
    <row r="67" spans="1:12" s="13" customFormat="1" ht="15.75">
      <c r="A67" s="37">
        <v>8100</v>
      </c>
      <c r="B67" s="479" t="s">
        <v>22</v>
      </c>
      <c r="C67" s="479"/>
      <c r="D67" s="479"/>
      <c r="E67" s="308"/>
      <c r="F67" s="308"/>
      <c r="G67" s="308"/>
      <c r="H67" s="388">
        <f>'PRESUP.EGRESOS FUENTE FINANCIAM'!M383</f>
        <v>0</v>
      </c>
      <c r="I67" s="55" t="e">
        <f t="shared" si="0"/>
        <v>#DIV/0!</v>
      </c>
      <c r="J67" s="308"/>
      <c r="K67" s="308"/>
      <c r="L67" s="308"/>
    </row>
    <row r="68" spans="1:12" s="13" customFormat="1" ht="15.75">
      <c r="A68" s="37">
        <v>8300</v>
      </c>
      <c r="B68" s="479" t="s">
        <v>23</v>
      </c>
      <c r="C68" s="479"/>
      <c r="D68" s="479"/>
      <c r="E68" s="309"/>
      <c r="F68" s="309"/>
      <c r="G68" s="309"/>
      <c r="H68" s="388">
        <f>'PRESUP.EGRESOS FUENTE FINANCIAM'!M390</f>
        <v>0</v>
      </c>
      <c r="I68" s="55" t="e">
        <f t="shared" si="0"/>
        <v>#DIV/0!</v>
      </c>
      <c r="J68" s="309"/>
      <c r="K68" s="309"/>
      <c r="L68" s="309"/>
    </row>
    <row r="69" spans="1:12" s="13" customFormat="1" ht="15.75">
      <c r="A69" s="37">
        <v>8500</v>
      </c>
      <c r="B69" s="479" t="s">
        <v>24</v>
      </c>
      <c r="C69" s="479"/>
      <c r="D69" s="479"/>
      <c r="E69" s="309"/>
      <c r="F69" s="309">
        <v>428125</v>
      </c>
      <c r="G69" s="309"/>
      <c r="H69" s="388">
        <f>'PRESUP.EGRESOS FUENTE FINANCIAM'!M396</f>
        <v>0</v>
      </c>
      <c r="I69" s="55" t="e">
        <f t="shared" si="0"/>
        <v>#DIV/0!</v>
      </c>
      <c r="J69" s="309"/>
      <c r="K69" s="309"/>
      <c r="L69" s="309"/>
    </row>
    <row r="70" spans="1:12" s="13" customFormat="1" ht="15.75">
      <c r="A70" s="243">
        <v>9000</v>
      </c>
      <c r="B70" s="485" t="s">
        <v>93</v>
      </c>
      <c r="C70" s="485"/>
      <c r="D70" s="485"/>
      <c r="E70" s="310">
        <f>SUM(E71:E77)</f>
        <v>883986</v>
      </c>
      <c r="F70" s="310">
        <f>SUM(F71:F77)</f>
        <v>1532831</v>
      </c>
      <c r="G70" s="310">
        <f>SUM(G71:G77)</f>
        <v>2257189</v>
      </c>
      <c r="H70" s="389">
        <f>SUM(H71:H77)</f>
        <v>2503716</v>
      </c>
      <c r="I70" s="244">
        <f t="shared" si="0"/>
        <v>0.10921859002502665</v>
      </c>
      <c r="J70" s="310">
        <f>SUM(J71:J77)</f>
        <v>2103901</v>
      </c>
      <c r="K70" s="310">
        <f>SUM(K71:K77)</f>
        <v>2209096.0500000003</v>
      </c>
      <c r="L70" s="310">
        <f>SUM(L71:L77)</f>
        <v>2319550.8525</v>
      </c>
    </row>
    <row r="71" spans="1:12" s="13" customFormat="1" ht="15.75">
      <c r="A71" s="37">
        <v>9100</v>
      </c>
      <c r="B71" s="479" t="s">
        <v>94</v>
      </c>
      <c r="C71" s="479"/>
      <c r="D71" s="479"/>
      <c r="E71" s="308">
        <v>883986</v>
      </c>
      <c r="F71" s="308">
        <v>1532831</v>
      </c>
      <c r="G71" s="308">
        <v>2257189</v>
      </c>
      <c r="H71" s="388">
        <f>'PRESUP.EGRESOS FUENTE FINANCIAM'!M401</f>
        <v>459266</v>
      </c>
      <c r="I71" s="55">
        <f t="shared" ref="I71:I78" si="23">H71/G71-1</f>
        <v>-0.79653188102547023</v>
      </c>
      <c r="J71" s="308">
        <v>482229</v>
      </c>
      <c r="K71" s="308">
        <f t="shared" ref="K71:L71" si="24">J71*0.05+J71</f>
        <v>506340.45</v>
      </c>
      <c r="L71" s="308">
        <f t="shared" si="24"/>
        <v>531657.47250000003</v>
      </c>
    </row>
    <row r="72" spans="1:12" s="13" customFormat="1" ht="15.75">
      <c r="A72" s="37">
        <v>9200</v>
      </c>
      <c r="B72" s="479" t="s">
        <v>95</v>
      </c>
      <c r="C72" s="479"/>
      <c r="D72" s="479"/>
      <c r="E72" s="309"/>
      <c r="F72" s="309"/>
      <c r="G72" s="309"/>
      <c r="H72" s="388">
        <f>'PRESUP.EGRESOS FUENTE FINANCIAM'!M410</f>
        <v>1544450</v>
      </c>
      <c r="I72" s="55" t="e">
        <f t="shared" si="23"/>
        <v>#DIV/0!</v>
      </c>
      <c r="J72" s="309">
        <v>1621672</v>
      </c>
      <c r="K72" s="308">
        <f t="shared" ref="K72:L72" si="25">J72*0.05+J72</f>
        <v>1702755.6</v>
      </c>
      <c r="L72" s="308">
        <f t="shared" si="25"/>
        <v>1787893.3800000001</v>
      </c>
    </row>
    <row r="73" spans="1:12" s="13" customFormat="1" ht="15.75">
      <c r="A73" s="37">
        <v>9300</v>
      </c>
      <c r="B73" s="479" t="s">
        <v>96</v>
      </c>
      <c r="C73" s="479"/>
      <c r="D73" s="479"/>
      <c r="E73" s="309"/>
      <c r="F73" s="309"/>
      <c r="G73" s="309"/>
      <c r="H73" s="388">
        <f>'PRESUP.EGRESOS FUENTE FINANCIAM'!M419</f>
        <v>0</v>
      </c>
      <c r="I73" s="55" t="e">
        <f t="shared" si="23"/>
        <v>#DIV/0!</v>
      </c>
      <c r="J73" s="309"/>
      <c r="K73" s="309"/>
      <c r="L73" s="309"/>
    </row>
    <row r="74" spans="1:12" s="13" customFormat="1" ht="15.75">
      <c r="A74" s="37">
        <v>9400</v>
      </c>
      <c r="B74" s="479" t="s">
        <v>97</v>
      </c>
      <c r="C74" s="479"/>
      <c r="D74" s="479"/>
      <c r="E74" s="309"/>
      <c r="F74" s="309"/>
      <c r="G74" s="309"/>
      <c r="H74" s="388">
        <f>'PRESUP.EGRESOS FUENTE FINANCIAM'!M422</f>
        <v>0</v>
      </c>
      <c r="I74" s="55" t="e">
        <f t="shared" si="23"/>
        <v>#DIV/0!</v>
      </c>
      <c r="J74" s="309"/>
      <c r="K74" s="309"/>
      <c r="L74" s="309"/>
    </row>
    <row r="75" spans="1:12" s="13" customFormat="1" ht="15.75">
      <c r="A75" s="37">
        <v>9500</v>
      </c>
      <c r="B75" s="479" t="s">
        <v>98</v>
      </c>
      <c r="C75" s="479"/>
      <c r="D75" s="479"/>
      <c r="E75" s="309"/>
      <c r="F75" s="309"/>
      <c r="G75" s="309"/>
      <c r="H75" s="388">
        <f>'PRESUP.EGRESOS FUENTE FINANCIAM'!M425</f>
        <v>0</v>
      </c>
      <c r="I75" s="55" t="e">
        <f t="shared" si="23"/>
        <v>#DIV/0!</v>
      </c>
      <c r="J75" s="309"/>
      <c r="K75" s="309"/>
      <c r="L75" s="309"/>
    </row>
    <row r="76" spans="1:12" s="13" customFormat="1" ht="15.75">
      <c r="A76" s="37">
        <v>9600</v>
      </c>
      <c r="B76" s="479" t="s">
        <v>852</v>
      </c>
      <c r="C76" s="479"/>
      <c r="D76" s="479"/>
      <c r="E76" s="309"/>
      <c r="F76" s="309"/>
      <c r="G76" s="309"/>
      <c r="H76" s="388">
        <f>'PRESUP.EGRESOS FUENTE FINANCIAM'!M427</f>
        <v>0</v>
      </c>
      <c r="I76" s="55" t="e">
        <f t="shared" si="23"/>
        <v>#DIV/0!</v>
      </c>
      <c r="J76" s="309"/>
      <c r="K76" s="309"/>
      <c r="L76" s="309"/>
    </row>
    <row r="77" spans="1:12" s="13" customFormat="1" ht="15.75">
      <c r="A77" s="50">
        <v>9900</v>
      </c>
      <c r="B77" s="486" t="s">
        <v>99</v>
      </c>
      <c r="C77" s="486"/>
      <c r="D77" s="486"/>
      <c r="E77" s="313"/>
      <c r="F77" s="313"/>
      <c r="G77" s="313"/>
      <c r="H77" s="388">
        <f>'PRESUP.EGRESOS FUENTE FINANCIAM'!M430</f>
        <v>500000</v>
      </c>
      <c r="I77" s="55" t="e">
        <f t="shared" si="23"/>
        <v>#DIV/0!</v>
      </c>
      <c r="J77" s="313"/>
      <c r="K77" s="313"/>
      <c r="L77" s="313"/>
    </row>
    <row r="78" spans="1:12" s="13" customFormat="1" ht="15.75">
      <c r="A78" s="487" t="s">
        <v>548</v>
      </c>
      <c r="B78" s="488"/>
      <c r="C78" s="488"/>
      <c r="D78" s="488"/>
      <c r="E78" s="314">
        <f>E6+E14+E24+E34+E44+E54+E58+E66+E70</f>
        <v>56129702</v>
      </c>
      <c r="F78" s="314">
        <f>F6+F14+F24+F34+F44+F54+F58+F66+F70</f>
        <v>61526376</v>
      </c>
      <c r="G78" s="314">
        <f>G6+G14+G24+G34+G44+G54+G58+G66+G70</f>
        <v>72150454</v>
      </c>
      <c r="H78" s="390">
        <f>H6+H14+H24+H34+H44+H54+H58+H66+H70</f>
        <v>70505677</v>
      </c>
      <c r="I78" s="245">
        <f t="shared" si="23"/>
        <v>-2.2796488570952067E-2</v>
      </c>
      <c r="J78" s="314">
        <f>J6+J14+J24+J34+J44+J54+J58+J66+J70</f>
        <v>77015874</v>
      </c>
      <c r="K78" s="314">
        <f>K6+K14+K24+K34+K44+K54+K58+K66+K70</f>
        <v>80866667.700000003</v>
      </c>
      <c r="L78" s="314">
        <f>L6+L14+L24+L34+L44+L54+L58+L66+L70</f>
        <v>84910001.084999993</v>
      </c>
    </row>
    <row r="79" spans="1:12" ht="16.899999999999999" customHeight="1">
      <c r="B79" s="268"/>
      <c r="C79" s="268"/>
      <c r="D79" s="268"/>
    </row>
    <row r="80" spans="1:12" ht="32.450000000000003" customHeight="1">
      <c r="A80" s="480" t="s">
        <v>857</v>
      </c>
      <c r="B80" s="480"/>
      <c r="C80" s="480"/>
      <c r="D80" s="480"/>
      <c r="E80" s="19"/>
      <c r="F80" s="19"/>
      <c r="G80" s="19"/>
      <c r="H80" s="19"/>
      <c r="I80" s="19"/>
      <c r="J80" s="19"/>
      <c r="K80" s="19"/>
      <c r="L80" s="19"/>
    </row>
    <row r="81" spans="1:260" ht="32.1" customHeight="1">
      <c r="A81" s="246" t="s">
        <v>100</v>
      </c>
      <c r="B81" s="247" t="s">
        <v>3</v>
      </c>
      <c r="C81" s="248" t="s">
        <v>842</v>
      </c>
      <c r="D81" s="249" t="s">
        <v>28</v>
      </c>
      <c r="E81" s="20"/>
      <c r="F81" s="20"/>
      <c r="G81" s="20"/>
      <c r="H81" s="20"/>
      <c r="I81" s="20"/>
      <c r="J81" s="20"/>
      <c r="K81" s="20"/>
      <c r="L81" s="20"/>
    </row>
    <row r="82" spans="1:260" ht="32.1" customHeight="1">
      <c r="A82" s="5">
        <v>1</v>
      </c>
      <c r="B82" s="6" t="s">
        <v>101</v>
      </c>
      <c r="C82" s="21">
        <f>(H6+H14+H24+H34)-H39</f>
        <v>56815335</v>
      </c>
      <c r="D82" s="108">
        <f>C82/$C$87</f>
        <v>0.80582638756876268</v>
      </c>
    </row>
    <row r="83" spans="1:260" ht="32.1" customHeight="1">
      <c r="A83" s="5">
        <v>2</v>
      </c>
      <c r="B83" s="6" t="s">
        <v>102</v>
      </c>
      <c r="C83" s="21">
        <f>H44+H54+H58</f>
        <v>11186626</v>
      </c>
      <c r="D83" s="108">
        <f t="shared" ref="D83:D86" si="26">C83/$C$87</f>
        <v>0.15866276980788369</v>
      </c>
    </row>
    <row r="84" spans="1:260" ht="32.1" customHeight="1">
      <c r="A84" s="5">
        <v>3</v>
      </c>
      <c r="B84" s="6" t="s">
        <v>103</v>
      </c>
      <c r="C84" s="21">
        <f>H70</f>
        <v>2503716</v>
      </c>
      <c r="D84" s="108">
        <f t="shared" si="26"/>
        <v>3.5510842623353578E-2</v>
      </c>
    </row>
    <row r="85" spans="1:260" ht="32.1" customHeight="1">
      <c r="A85" s="5">
        <v>4</v>
      </c>
      <c r="B85" s="6" t="s">
        <v>136</v>
      </c>
      <c r="C85" s="21">
        <f>H39</f>
        <v>0</v>
      </c>
      <c r="D85" s="108">
        <f t="shared" si="26"/>
        <v>0</v>
      </c>
    </row>
    <row r="86" spans="1:260" ht="32.1" customHeight="1">
      <c r="A86" s="5">
        <v>5</v>
      </c>
      <c r="B86" s="6" t="s">
        <v>124</v>
      </c>
      <c r="C86" s="21">
        <f>H66</f>
        <v>0</v>
      </c>
      <c r="D86" s="108">
        <f t="shared" si="26"/>
        <v>0</v>
      </c>
    </row>
    <row r="87" spans="1:260" ht="19.899999999999999" customHeight="1">
      <c r="A87" s="250"/>
      <c r="B87" s="251" t="s">
        <v>841</v>
      </c>
      <c r="C87" s="252">
        <f>SUM(C82:C86)</f>
        <v>70505677</v>
      </c>
      <c r="D87" s="253">
        <f>SUM(D82:D86)</f>
        <v>0.99999999999999989</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zqasBBFa5T9MvHPBPrxdhQS2dQ4nOIclwmNm1SLsGx6pjCN6cRtDu9ZNOTJ+xk5SVRYAm/ufqHtwxHF9Z7RrQA==" saltValue="9CkmRoS2pnMxRKx2NjBWFQ==" spinCount="100000"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zoomScale="110" zoomScaleNormal="110" workbookViewId="0">
      <selection activeCell="D15" sqref="D15"/>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506" t="s">
        <v>905</v>
      </c>
      <c r="B1" s="507"/>
      <c r="C1" s="507"/>
      <c r="D1" s="508"/>
    </row>
    <row r="2" spans="1:5" s="66" customFormat="1" ht="24" customHeight="1">
      <c r="A2" s="503" t="str">
        <f>'ESTIMACIÓN DE INGRESOS'!A2:C2</f>
        <v>Nombre del Municipio: Cabo Corrientes</v>
      </c>
      <c r="B2" s="504"/>
      <c r="C2" s="504"/>
      <c r="D2" s="505"/>
    </row>
    <row r="3" spans="1:5" s="66" customFormat="1" ht="6.75" customHeight="1">
      <c r="A3" s="96"/>
      <c r="D3" s="107"/>
    </row>
    <row r="4" spans="1:5" s="98" customFormat="1" ht="15.75">
      <c r="A4" s="499" t="s">
        <v>551</v>
      </c>
      <c r="B4" s="501" t="s">
        <v>552</v>
      </c>
      <c r="C4" s="501" t="s">
        <v>553</v>
      </c>
      <c r="D4" s="254" t="s">
        <v>827</v>
      </c>
      <c r="E4" s="97"/>
    </row>
    <row r="5" spans="1:5" s="100" customFormat="1" ht="15.75">
      <c r="A5" s="500"/>
      <c r="B5" s="502"/>
      <c r="C5" s="502"/>
      <c r="D5" s="255" t="s">
        <v>140</v>
      </c>
      <c r="E5" s="99"/>
    </row>
    <row r="6" spans="1:5" s="103" customFormat="1" ht="25.5" customHeight="1">
      <c r="A6" s="101" t="s">
        <v>554</v>
      </c>
      <c r="B6" s="93">
        <v>0</v>
      </c>
      <c r="C6" s="94" t="s">
        <v>1101</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v>4569000</v>
      </c>
      <c r="E9" s="102"/>
    </row>
    <row r="10" spans="1:5" s="103" customFormat="1" ht="25.5" customHeight="1">
      <c r="A10" s="101" t="s">
        <v>559</v>
      </c>
      <c r="B10" s="93">
        <v>2</v>
      </c>
      <c r="C10" s="94" t="s">
        <v>828</v>
      </c>
      <c r="D10" s="332">
        <v>2877467</v>
      </c>
      <c r="E10" s="102"/>
    </row>
    <row r="11" spans="1:5" s="103" customFormat="1" ht="25.5" customHeight="1">
      <c r="A11" s="101" t="s">
        <v>559</v>
      </c>
      <c r="B11" s="93">
        <v>3</v>
      </c>
      <c r="C11" s="94" t="s">
        <v>829</v>
      </c>
      <c r="D11" s="332">
        <v>859600</v>
      </c>
      <c r="E11" s="102"/>
    </row>
    <row r="12" spans="1:5" s="103" customFormat="1" ht="25.5" customHeight="1">
      <c r="A12" s="101" t="s">
        <v>559</v>
      </c>
      <c r="B12" s="93">
        <v>4</v>
      </c>
      <c r="C12" s="94" t="s">
        <v>1276</v>
      </c>
      <c r="D12" s="332">
        <v>3598000</v>
      </c>
      <c r="E12" s="102"/>
    </row>
    <row r="13" spans="1:5" s="103" customFormat="1" ht="25.5" customHeight="1">
      <c r="A13" s="101" t="s">
        <v>559</v>
      </c>
      <c r="B13" s="93">
        <v>5</v>
      </c>
      <c r="C13" s="94" t="s">
        <v>1277</v>
      </c>
      <c r="D13" s="332">
        <v>4590000</v>
      </c>
      <c r="E13" s="102"/>
    </row>
    <row r="14" spans="1:5" s="103" customFormat="1" ht="25.5" customHeight="1">
      <c r="A14" s="101" t="s">
        <v>559</v>
      </c>
      <c r="B14" s="93">
        <v>6</v>
      </c>
      <c r="C14" s="94" t="s">
        <v>1278</v>
      </c>
      <c r="D14" s="332">
        <v>759600</v>
      </c>
      <c r="E14" s="102"/>
    </row>
    <row r="15" spans="1:5" s="103" customFormat="1" ht="25.5" customHeight="1">
      <c r="A15" s="101" t="s">
        <v>559</v>
      </c>
      <c r="B15" s="93">
        <v>7</v>
      </c>
      <c r="C15" s="94" t="s">
        <v>1279</v>
      </c>
      <c r="D15" s="332">
        <v>2180000</v>
      </c>
      <c r="E15" s="102"/>
    </row>
    <row r="16" spans="1:5" s="103" customFormat="1" ht="25.5" customHeight="1">
      <c r="A16" s="101" t="s">
        <v>559</v>
      </c>
      <c r="B16" s="93">
        <v>8</v>
      </c>
      <c r="C16" s="94" t="s">
        <v>1280</v>
      </c>
      <c r="D16" s="332">
        <v>1598000</v>
      </c>
      <c r="E16" s="102"/>
    </row>
    <row r="17" spans="1:5" s="103" customFormat="1" ht="25.5" customHeight="1">
      <c r="A17" s="101" t="s">
        <v>559</v>
      </c>
      <c r="B17" s="93">
        <v>9</v>
      </c>
      <c r="C17" s="95" t="s">
        <v>1281</v>
      </c>
      <c r="D17" s="332">
        <v>2598000</v>
      </c>
      <c r="E17" s="102"/>
    </row>
    <row r="18" spans="1:5" s="103" customFormat="1" ht="25.5" customHeight="1">
      <c r="A18" s="101" t="s">
        <v>559</v>
      </c>
      <c r="B18" s="93">
        <v>10</v>
      </c>
      <c r="C18" s="94" t="s">
        <v>1282</v>
      </c>
      <c r="D18" s="332">
        <v>16980090</v>
      </c>
      <c r="E18" s="102"/>
    </row>
    <row r="19" spans="1:5" s="103" customFormat="1" ht="25.5" customHeight="1">
      <c r="A19" s="101" t="s">
        <v>559</v>
      </c>
      <c r="B19" s="93">
        <v>11</v>
      </c>
      <c r="C19" s="94" t="s">
        <v>1283</v>
      </c>
      <c r="D19" s="332">
        <v>4598000</v>
      </c>
      <c r="E19" s="102"/>
    </row>
    <row r="20" spans="1:5" s="103" customFormat="1" ht="25.5" customHeight="1">
      <c r="A20" s="101" t="s">
        <v>559</v>
      </c>
      <c r="B20" s="93">
        <v>12</v>
      </c>
      <c r="C20" s="94" t="s">
        <v>830</v>
      </c>
      <c r="D20" s="332">
        <v>1540000</v>
      </c>
      <c r="E20" s="102"/>
    </row>
    <row r="21" spans="1:5" s="103" customFormat="1" ht="25.5" customHeight="1">
      <c r="A21" s="101" t="s">
        <v>559</v>
      </c>
      <c r="B21" s="93">
        <v>13</v>
      </c>
      <c r="C21" s="94" t="s">
        <v>1284</v>
      </c>
      <c r="D21" s="332">
        <v>865400</v>
      </c>
      <c r="E21" s="102"/>
    </row>
    <row r="22" spans="1:5" s="103" customFormat="1" ht="25.5" customHeight="1">
      <c r="A22" s="101" t="s">
        <v>559</v>
      </c>
      <c r="B22" s="93">
        <v>14</v>
      </c>
      <c r="C22" s="94" t="s">
        <v>1285</v>
      </c>
      <c r="D22" s="332">
        <v>16609940</v>
      </c>
      <c r="E22" s="102"/>
    </row>
    <row r="23" spans="1:5" s="103" customFormat="1" ht="25.5" customHeight="1">
      <c r="A23" s="101" t="s">
        <v>559</v>
      </c>
      <c r="B23" s="93">
        <v>15</v>
      </c>
      <c r="C23" s="94" t="s">
        <v>1286</v>
      </c>
      <c r="D23" s="332">
        <v>3362710</v>
      </c>
      <c r="E23" s="102"/>
    </row>
    <row r="24" spans="1:5" s="103" customFormat="1" ht="25.5" customHeight="1">
      <c r="A24" s="101" t="s">
        <v>559</v>
      </c>
      <c r="B24" s="93">
        <v>16</v>
      </c>
      <c r="C24" s="94" t="s">
        <v>1287</v>
      </c>
      <c r="D24" s="332">
        <v>329870</v>
      </c>
      <c r="E24" s="102"/>
    </row>
    <row r="25" spans="1:5" s="103" customFormat="1" ht="25.5" customHeight="1">
      <c r="A25" s="101" t="s">
        <v>559</v>
      </c>
      <c r="B25" s="93">
        <v>17</v>
      </c>
      <c r="C25" s="94" t="s">
        <v>1288</v>
      </c>
      <c r="D25" s="332">
        <v>2590000</v>
      </c>
      <c r="E25" s="102"/>
    </row>
    <row r="26" spans="1:5" s="103" customFormat="1" ht="25.5" customHeight="1">
      <c r="A26" s="101"/>
      <c r="B26" s="93"/>
      <c r="C26" s="94"/>
      <c r="D26" s="331"/>
      <c r="E26" s="102"/>
    </row>
    <row r="27" spans="1:5" s="103" customFormat="1" ht="25.5" customHeight="1">
      <c r="A27" s="101"/>
      <c r="B27" s="93"/>
      <c r="C27" s="94"/>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70505677</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6" activePane="bottomLeft" state="frozen"/>
      <selection pane="bottomLeft" activeCell="F60" sqref="F60"/>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12" t="s">
        <v>906</v>
      </c>
      <c r="B1" s="513"/>
      <c r="C1" s="513"/>
      <c r="D1" s="513"/>
      <c r="E1" s="513"/>
      <c r="F1" s="514"/>
    </row>
    <row r="2" spans="1:7" s="109" customFormat="1" ht="21" customHeight="1">
      <c r="A2" s="515" t="str">
        <f>CLASIFIC.ADMINISTRATIVA!$A$2</f>
        <v>Nombre del Municipio: Cabo Corrientes</v>
      </c>
      <c r="B2" s="516"/>
      <c r="C2" s="516"/>
      <c r="D2" s="516"/>
      <c r="E2" s="516"/>
      <c r="F2" s="517"/>
    </row>
    <row r="3" spans="1:7" s="111" customFormat="1" ht="14.25" customHeight="1">
      <c r="A3" s="518"/>
      <c r="B3" s="519"/>
      <c r="C3" s="519"/>
      <c r="D3" s="520"/>
      <c r="E3" s="259"/>
      <c r="F3" s="260" t="s">
        <v>826</v>
      </c>
      <c r="G3" s="110"/>
    </row>
    <row r="4" spans="1:7" s="149" customFormat="1" ht="3.75" customHeight="1">
      <c r="A4" s="152"/>
      <c r="B4" s="147"/>
      <c r="C4" s="147"/>
      <c r="D4" s="147"/>
      <c r="E4" s="148"/>
      <c r="F4" s="153"/>
    </row>
    <row r="5" spans="1:7" s="112" customFormat="1" ht="20.100000000000001" customHeight="1">
      <c r="A5" s="261">
        <v>1</v>
      </c>
      <c r="B5" s="521" t="s">
        <v>572</v>
      </c>
      <c r="C5" s="522"/>
      <c r="D5" s="522"/>
      <c r="E5" s="523"/>
      <c r="F5" s="334">
        <f>SUM(F6+F9+F14+F24+F26+F29+F33+F38)</f>
        <v>19592677</v>
      </c>
    </row>
    <row r="6" spans="1:7" s="112" customFormat="1" ht="20.100000000000001" customHeight="1">
      <c r="A6" s="154" t="s">
        <v>858</v>
      </c>
      <c r="B6" s="117" t="s">
        <v>858</v>
      </c>
      <c r="C6" s="524" t="s">
        <v>573</v>
      </c>
      <c r="D6" s="525"/>
      <c r="E6" s="526"/>
      <c r="F6" s="335">
        <f>SUM(F7:F8)</f>
        <v>4569000</v>
      </c>
    </row>
    <row r="7" spans="1:7" s="53" customFormat="1" ht="20.100000000000001" customHeight="1">
      <c r="A7" s="155"/>
      <c r="B7" s="115" t="s">
        <v>858</v>
      </c>
      <c r="C7" s="115" t="s">
        <v>858</v>
      </c>
      <c r="D7" s="115" t="s">
        <v>882</v>
      </c>
      <c r="E7" s="86" t="s">
        <v>575</v>
      </c>
      <c r="F7" s="336">
        <v>4569000</v>
      </c>
    </row>
    <row r="8" spans="1:7" s="53" customFormat="1" ht="20.100000000000001" customHeight="1">
      <c r="A8" s="155"/>
      <c r="B8" s="115" t="s">
        <v>858</v>
      </c>
      <c r="C8" s="115" t="s">
        <v>858</v>
      </c>
      <c r="D8" s="115" t="s">
        <v>859</v>
      </c>
      <c r="E8" s="86" t="s">
        <v>577</v>
      </c>
      <c r="F8" s="336"/>
    </row>
    <row r="9" spans="1:7" s="112" customFormat="1" ht="20.100000000000001" customHeight="1">
      <c r="A9" s="154" t="s">
        <v>858</v>
      </c>
      <c r="B9" s="117" t="s">
        <v>863</v>
      </c>
      <c r="C9" s="524" t="s">
        <v>579</v>
      </c>
      <c r="D9" s="525"/>
      <c r="E9" s="526"/>
      <c r="F9" s="335">
        <f>SUM(F10:F13)</f>
        <v>150900</v>
      </c>
    </row>
    <row r="10" spans="1:7" s="53" customFormat="1" ht="20.100000000000001" customHeight="1">
      <c r="A10" s="155"/>
      <c r="B10" s="115" t="s">
        <v>858</v>
      </c>
      <c r="C10" s="115" t="s">
        <v>863</v>
      </c>
      <c r="D10" s="115" t="s">
        <v>882</v>
      </c>
      <c r="E10" s="116" t="s">
        <v>864</v>
      </c>
      <c r="F10" s="336"/>
    </row>
    <row r="11" spans="1:7" s="53" customFormat="1" ht="20.100000000000001" customHeight="1">
      <c r="A11" s="155"/>
      <c r="B11" s="115" t="s">
        <v>882</v>
      </c>
      <c r="C11" s="115" t="s">
        <v>859</v>
      </c>
      <c r="D11" s="115" t="s">
        <v>859</v>
      </c>
      <c r="E11" s="116" t="s">
        <v>583</v>
      </c>
      <c r="F11" s="336"/>
    </row>
    <row r="12" spans="1:7" s="53" customFormat="1" ht="20.100000000000001" customHeight="1">
      <c r="A12" s="155"/>
      <c r="B12" s="115" t="s">
        <v>858</v>
      </c>
      <c r="C12" s="115" t="s">
        <v>863</v>
      </c>
      <c r="D12" s="115" t="s">
        <v>860</v>
      </c>
      <c r="E12" s="86" t="s">
        <v>585</v>
      </c>
      <c r="F12" s="336"/>
    </row>
    <row r="13" spans="1:7" s="53" customFormat="1" ht="20.100000000000001" customHeight="1">
      <c r="A13" s="155"/>
      <c r="B13" s="115" t="s">
        <v>882</v>
      </c>
      <c r="C13" s="115" t="s">
        <v>859</v>
      </c>
      <c r="D13" s="115" t="s">
        <v>885</v>
      </c>
      <c r="E13" s="116" t="s">
        <v>587</v>
      </c>
      <c r="F13" s="336">
        <v>150900</v>
      </c>
    </row>
    <row r="14" spans="1:7" s="112" customFormat="1" ht="20.100000000000001" customHeight="1">
      <c r="A14" s="154" t="s">
        <v>858</v>
      </c>
      <c r="B14" s="117" t="s">
        <v>883</v>
      </c>
      <c r="C14" s="524" t="s">
        <v>589</v>
      </c>
      <c r="D14" s="525"/>
      <c r="E14" s="526"/>
      <c r="F14" s="335">
        <f>SUM(F15:F23)</f>
        <v>4422467</v>
      </c>
    </row>
    <row r="15" spans="1:7" s="53" customFormat="1" ht="20.100000000000001" customHeight="1">
      <c r="A15" s="155"/>
      <c r="B15" s="115" t="s">
        <v>858</v>
      </c>
      <c r="C15" s="115" t="s">
        <v>883</v>
      </c>
      <c r="D15" s="115" t="s">
        <v>882</v>
      </c>
      <c r="E15" s="86" t="s">
        <v>865</v>
      </c>
      <c r="F15" s="336">
        <v>2877467</v>
      </c>
    </row>
    <row r="16" spans="1:7" s="53" customFormat="1" ht="20.100000000000001" customHeight="1">
      <c r="A16" s="155"/>
      <c r="B16" s="115" t="s">
        <v>858</v>
      </c>
      <c r="C16" s="115" t="s">
        <v>883</v>
      </c>
      <c r="D16" s="115" t="s">
        <v>859</v>
      </c>
      <c r="E16" s="86" t="s">
        <v>593</v>
      </c>
      <c r="F16" s="336"/>
    </row>
    <row r="17" spans="1:6" s="53" customFormat="1" ht="20.100000000000001" customHeight="1">
      <c r="A17" s="155"/>
      <c r="B17" s="115" t="s">
        <v>858</v>
      </c>
      <c r="C17" s="115" t="s">
        <v>883</v>
      </c>
      <c r="D17" s="115" t="s">
        <v>860</v>
      </c>
      <c r="E17" s="86" t="s">
        <v>595</v>
      </c>
      <c r="F17" s="336">
        <v>1289000</v>
      </c>
    </row>
    <row r="18" spans="1:6" s="53" customFormat="1" ht="20.100000000000001" customHeight="1">
      <c r="A18" s="155"/>
      <c r="B18" s="115" t="s">
        <v>858</v>
      </c>
      <c r="C18" s="115" t="s">
        <v>883</v>
      </c>
      <c r="D18" s="115" t="s">
        <v>885</v>
      </c>
      <c r="E18" s="86" t="s">
        <v>597</v>
      </c>
      <c r="F18" s="336"/>
    </row>
    <row r="19" spans="1:6" s="53" customFormat="1" ht="20.100000000000001" customHeight="1">
      <c r="A19" s="155"/>
      <c r="B19" s="115" t="s">
        <v>858</v>
      </c>
      <c r="C19" s="115" t="s">
        <v>883</v>
      </c>
      <c r="D19" s="115" t="s">
        <v>861</v>
      </c>
      <c r="E19" s="86" t="s">
        <v>599</v>
      </c>
      <c r="F19" s="336">
        <v>256000</v>
      </c>
    </row>
    <row r="20" spans="1:6" s="53" customFormat="1" ht="20.100000000000001" customHeight="1">
      <c r="A20" s="155"/>
      <c r="B20" s="115" t="s">
        <v>858</v>
      </c>
      <c r="C20" s="115" t="s">
        <v>883</v>
      </c>
      <c r="D20" s="115" t="s">
        <v>886</v>
      </c>
      <c r="E20" s="86" t="s">
        <v>601</v>
      </c>
      <c r="F20" s="336"/>
    </row>
    <row r="21" spans="1:6" s="53" customFormat="1" ht="20.100000000000001" customHeight="1">
      <c r="A21" s="155"/>
      <c r="B21" s="115" t="s">
        <v>858</v>
      </c>
      <c r="C21" s="115" t="s">
        <v>883</v>
      </c>
      <c r="D21" s="115" t="s">
        <v>862</v>
      </c>
      <c r="E21" s="86" t="s">
        <v>603</v>
      </c>
      <c r="F21" s="336"/>
    </row>
    <row r="22" spans="1:6" s="53" customFormat="1" ht="20.100000000000001" customHeight="1">
      <c r="A22" s="155"/>
      <c r="B22" s="115" t="s">
        <v>858</v>
      </c>
      <c r="C22" s="115" t="s">
        <v>883</v>
      </c>
      <c r="D22" s="115" t="s">
        <v>887</v>
      </c>
      <c r="E22" s="86" t="s">
        <v>605</v>
      </c>
      <c r="F22" s="336"/>
    </row>
    <row r="23" spans="1:6" s="53" customFormat="1" ht="20.100000000000001" customHeight="1">
      <c r="A23" s="155"/>
      <c r="B23" s="115" t="s">
        <v>858</v>
      </c>
      <c r="C23" s="115" t="s">
        <v>883</v>
      </c>
      <c r="D23" s="115" t="s">
        <v>888</v>
      </c>
      <c r="E23" s="86" t="s">
        <v>120</v>
      </c>
      <c r="F23" s="336"/>
    </row>
    <row r="24" spans="1:6" s="112" customFormat="1" ht="20.100000000000001" customHeight="1">
      <c r="A24" s="154" t="s">
        <v>858</v>
      </c>
      <c r="B24" s="117" t="s">
        <v>884</v>
      </c>
      <c r="C24" s="524" t="s">
        <v>608</v>
      </c>
      <c r="D24" s="525"/>
      <c r="E24" s="526"/>
      <c r="F24" s="335">
        <f>SUM(F25)</f>
        <v>0</v>
      </c>
    </row>
    <row r="25" spans="1:6" s="53" customFormat="1" ht="20.100000000000001" customHeight="1">
      <c r="A25" s="155"/>
      <c r="B25" s="115" t="s">
        <v>858</v>
      </c>
      <c r="C25" s="115" t="s">
        <v>884</v>
      </c>
      <c r="D25" s="115" t="s">
        <v>882</v>
      </c>
      <c r="E25" s="86" t="s">
        <v>610</v>
      </c>
      <c r="F25" s="336"/>
    </row>
    <row r="26" spans="1:6" s="112" customFormat="1" ht="20.100000000000001" customHeight="1">
      <c r="A26" s="154" t="s">
        <v>858</v>
      </c>
      <c r="B26" s="117" t="s">
        <v>889</v>
      </c>
      <c r="C26" s="524" t="s">
        <v>612</v>
      </c>
      <c r="D26" s="525"/>
      <c r="E26" s="526"/>
      <c r="F26" s="335">
        <f>SUM(F27:F28)</f>
        <v>4620000</v>
      </c>
    </row>
    <row r="27" spans="1:6" s="53" customFormat="1" ht="20.100000000000001" customHeight="1">
      <c r="A27" s="155"/>
      <c r="B27" s="115" t="s">
        <v>858</v>
      </c>
      <c r="C27" s="115" t="s">
        <v>889</v>
      </c>
      <c r="D27" s="115" t="s">
        <v>882</v>
      </c>
      <c r="E27" s="86" t="s">
        <v>1102</v>
      </c>
      <c r="F27" s="336">
        <v>30000</v>
      </c>
    </row>
    <row r="28" spans="1:6" s="53" customFormat="1" ht="20.100000000000001" customHeight="1">
      <c r="A28" s="155"/>
      <c r="B28" s="115" t="s">
        <v>858</v>
      </c>
      <c r="C28" s="115" t="s">
        <v>889</v>
      </c>
      <c r="D28" s="115" t="s">
        <v>859</v>
      </c>
      <c r="E28" s="86" t="s">
        <v>616</v>
      </c>
      <c r="F28" s="336">
        <v>4590000</v>
      </c>
    </row>
    <row r="29" spans="1:6" s="112" customFormat="1" ht="20.100000000000001" customHeight="1">
      <c r="A29" s="154" t="s">
        <v>858</v>
      </c>
      <c r="B29" s="117" t="s">
        <v>890</v>
      </c>
      <c r="C29" s="524" t="s">
        <v>618</v>
      </c>
      <c r="D29" s="525"/>
      <c r="E29" s="526"/>
      <c r="F29" s="335">
        <f>SUM(F30:F32)</f>
        <v>0</v>
      </c>
    </row>
    <row r="30" spans="1:6" s="53" customFormat="1" ht="20.100000000000001" customHeight="1">
      <c r="A30" s="155"/>
      <c r="B30" s="115" t="s">
        <v>858</v>
      </c>
      <c r="C30" s="115" t="s">
        <v>890</v>
      </c>
      <c r="D30" s="115" t="s">
        <v>882</v>
      </c>
      <c r="E30" s="86" t="s">
        <v>620</v>
      </c>
      <c r="F30" s="336"/>
    </row>
    <row r="31" spans="1:6" s="53" customFormat="1" ht="20.100000000000001" customHeight="1">
      <c r="A31" s="155"/>
      <c r="B31" s="115" t="s">
        <v>858</v>
      </c>
      <c r="C31" s="115" t="s">
        <v>890</v>
      </c>
      <c r="D31" s="115" t="s">
        <v>859</v>
      </c>
      <c r="E31" s="86" t="s">
        <v>622</v>
      </c>
      <c r="F31" s="336"/>
    </row>
    <row r="32" spans="1:6" s="53" customFormat="1" ht="20.100000000000001" customHeight="1">
      <c r="A32" s="155"/>
      <c r="B32" s="115" t="s">
        <v>858</v>
      </c>
      <c r="C32" s="115" t="s">
        <v>890</v>
      </c>
      <c r="D32" s="115" t="s">
        <v>860</v>
      </c>
      <c r="E32" s="86" t="s">
        <v>624</v>
      </c>
      <c r="F32" s="336"/>
    </row>
    <row r="33" spans="1:6" s="112" customFormat="1" ht="20.100000000000001" customHeight="1">
      <c r="A33" s="154" t="s">
        <v>858</v>
      </c>
      <c r="B33" s="117" t="s">
        <v>891</v>
      </c>
      <c r="C33" s="524" t="s">
        <v>626</v>
      </c>
      <c r="D33" s="525"/>
      <c r="E33" s="526"/>
      <c r="F33" s="335">
        <f>SUM(F34:F37)</f>
        <v>4045710</v>
      </c>
    </row>
    <row r="34" spans="1:6" s="53" customFormat="1" ht="20.100000000000001" customHeight="1">
      <c r="A34" s="155"/>
      <c r="B34" s="115" t="s">
        <v>858</v>
      </c>
      <c r="C34" s="115" t="s">
        <v>891</v>
      </c>
      <c r="D34" s="115" t="s">
        <v>882</v>
      </c>
      <c r="E34" s="86" t="s">
        <v>628</v>
      </c>
      <c r="F34" s="336">
        <v>3362710</v>
      </c>
    </row>
    <row r="35" spans="1:6" s="53" customFormat="1" ht="20.100000000000001" customHeight="1">
      <c r="A35" s="155"/>
      <c r="B35" s="115" t="s">
        <v>858</v>
      </c>
      <c r="C35" s="115" t="s">
        <v>891</v>
      </c>
      <c r="D35" s="115" t="s">
        <v>859</v>
      </c>
      <c r="E35" s="86" t="s">
        <v>630</v>
      </c>
      <c r="F35" s="336">
        <v>683000</v>
      </c>
    </row>
    <row r="36" spans="1:6" s="53" customFormat="1" ht="20.100000000000001" customHeight="1">
      <c r="A36" s="155"/>
      <c r="B36" s="115" t="s">
        <v>858</v>
      </c>
      <c r="C36" s="115" t="s">
        <v>891</v>
      </c>
      <c r="D36" s="115" t="s">
        <v>860</v>
      </c>
      <c r="E36" s="86" t="s">
        <v>632</v>
      </c>
      <c r="F36" s="336"/>
    </row>
    <row r="37" spans="1:6" s="53" customFormat="1" ht="20.100000000000001" customHeight="1">
      <c r="A37" s="155"/>
      <c r="B37" s="115" t="s">
        <v>858</v>
      </c>
      <c r="C37" s="115" t="s">
        <v>891</v>
      </c>
      <c r="D37" s="115" t="s">
        <v>885</v>
      </c>
      <c r="E37" s="86" t="s">
        <v>634</v>
      </c>
      <c r="F37" s="336"/>
    </row>
    <row r="38" spans="1:6" s="112" customFormat="1" ht="20.100000000000001" customHeight="1">
      <c r="A38" s="154" t="s">
        <v>858</v>
      </c>
      <c r="B38" s="117" t="s">
        <v>892</v>
      </c>
      <c r="C38" s="524" t="s">
        <v>316</v>
      </c>
      <c r="D38" s="525"/>
      <c r="E38" s="526"/>
      <c r="F38" s="335">
        <f>SUM(F39:F43)</f>
        <v>1784600</v>
      </c>
    </row>
    <row r="39" spans="1:6" s="53" customFormat="1" ht="20.100000000000001" customHeight="1">
      <c r="A39" s="155"/>
      <c r="B39" s="115" t="s">
        <v>858</v>
      </c>
      <c r="C39" s="115" t="s">
        <v>892</v>
      </c>
      <c r="D39" s="115" t="s">
        <v>882</v>
      </c>
      <c r="E39" s="86" t="s">
        <v>866</v>
      </c>
      <c r="F39" s="336">
        <v>865000</v>
      </c>
    </row>
    <row r="40" spans="1:6" s="53" customFormat="1" ht="20.100000000000001" customHeight="1">
      <c r="A40" s="155"/>
      <c r="B40" s="115" t="s">
        <v>858</v>
      </c>
      <c r="C40" s="115" t="s">
        <v>892</v>
      </c>
      <c r="D40" s="115" t="s">
        <v>859</v>
      </c>
      <c r="E40" s="86" t="s">
        <v>638</v>
      </c>
      <c r="F40" s="336"/>
    </row>
    <row r="41" spans="1:6" s="53" customFormat="1" ht="20.100000000000001" customHeight="1">
      <c r="A41" s="155"/>
      <c r="B41" s="115" t="s">
        <v>858</v>
      </c>
      <c r="C41" s="115" t="s">
        <v>892</v>
      </c>
      <c r="D41" s="115" t="s">
        <v>860</v>
      </c>
      <c r="E41" s="86" t="s">
        <v>640</v>
      </c>
      <c r="F41" s="336">
        <v>459800</v>
      </c>
    </row>
    <row r="42" spans="1:6" s="53" customFormat="1" ht="20.100000000000001" customHeight="1">
      <c r="A42" s="155"/>
      <c r="B42" s="115" t="s">
        <v>858</v>
      </c>
      <c r="C42" s="115" t="s">
        <v>892</v>
      </c>
      <c r="D42" s="115" t="s">
        <v>885</v>
      </c>
      <c r="E42" s="86" t="s">
        <v>642</v>
      </c>
      <c r="F42" s="336">
        <v>459800</v>
      </c>
    </row>
    <row r="43" spans="1:6" s="53" customFormat="1" ht="20.100000000000001" customHeight="1">
      <c r="A43" s="155"/>
      <c r="B43" s="115" t="s">
        <v>858</v>
      </c>
      <c r="C43" s="115" t="s">
        <v>892</v>
      </c>
      <c r="D43" s="115" t="s">
        <v>861</v>
      </c>
      <c r="E43" s="86" t="s">
        <v>120</v>
      </c>
      <c r="F43" s="336"/>
    </row>
    <row r="44" spans="1:6" s="112" customFormat="1" ht="20.100000000000001" customHeight="1">
      <c r="A44" s="261" t="s">
        <v>859</v>
      </c>
      <c r="B44" s="521" t="s">
        <v>645</v>
      </c>
      <c r="C44" s="522"/>
      <c r="D44" s="522"/>
      <c r="E44" s="523"/>
      <c r="F44" s="334">
        <f>SUM(F45+F52+F60+F66+F71+F78+F88)</f>
        <v>40773584</v>
      </c>
    </row>
    <row r="45" spans="1:6" s="112" customFormat="1" ht="20.100000000000001" customHeight="1">
      <c r="A45" s="154" t="s">
        <v>863</v>
      </c>
      <c r="B45" s="117" t="s">
        <v>858</v>
      </c>
      <c r="C45" s="524" t="s">
        <v>867</v>
      </c>
      <c r="D45" s="525"/>
      <c r="E45" s="526"/>
      <c r="F45" s="335">
        <f>SUM(F46:F51)</f>
        <v>4552236</v>
      </c>
    </row>
    <row r="46" spans="1:6" s="53" customFormat="1" ht="20.100000000000001" customHeight="1">
      <c r="A46" s="155"/>
      <c r="B46" s="115" t="s">
        <v>863</v>
      </c>
      <c r="C46" s="115" t="s">
        <v>858</v>
      </c>
      <c r="D46" s="115" t="s">
        <v>882</v>
      </c>
      <c r="E46" s="86" t="s">
        <v>831</v>
      </c>
      <c r="F46" s="336">
        <v>2924236</v>
      </c>
    </row>
    <row r="47" spans="1:6" s="53" customFormat="1" ht="20.100000000000001" customHeight="1">
      <c r="A47" s="155"/>
      <c r="B47" s="115" t="s">
        <v>863</v>
      </c>
      <c r="C47" s="115" t="s">
        <v>858</v>
      </c>
      <c r="D47" s="115" t="s">
        <v>859</v>
      </c>
      <c r="E47" s="86" t="s">
        <v>868</v>
      </c>
      <c r="F47" s="336">
        <v>258900</v>
      </c>
    </row>
    <row r="48" spans="1:6" s="53" customFormat="1" ht="20.100000000000001" customHeight="1">
      <c r="A48" s="155"/>
      <c r="B48" s="115" t="s">
        <v>863</v>
      </c>
      <c r="C48" s="115" t="s">
        <v>858</v>
      </c>
      <c r="D48" s="115" t="s">
        <v>860</v>
      </c>
      <c r="E48" s="86" t="s">
        <v>869</v>
      </c>
      <c r="F48" s="336">
        <v>525000</v>
      </c>
    </row>
    <row r="49" spans="1:6" s="53" customFormat="1" ht="20.100000000000001" customHeight="1">
      <c r="A49" s="155"/>
      <c r="B49" s="115" t="s">
        <v>863</v>
      </c>
      <c r="C49" s="115" t="s">
        <v>858</v>
      </c>
      <c r="D49" s="115" t="s">
        <v>885</v>
      </c>
      <c r="E49" s="86" t="s">
        <v>870</v>
      </c>
      <c r="F49" s="336">
        <v>459800</v>
      </c>
    </row>
    <row r="50" spans="1:6" s="53" customFormat="1" ht="20.100000000000001" customHeight="1">
      <c r="A50" s="155"/>
      <c r="B50" s="115" t="s">
        <v>863</v>
      </c>
      <c r="C50" s="115" t="s">
        <v>858</v>
      </c>
      <c r="D50" s="115" t="s">
        <v>861</v>
      </c>
      <c r="E50" s="86" t="s">
        <v>832</v>
      </c>
      <c r="F50" s="336">
        <v>258900</v>
      </c>
    </row>
    <row r="51" spans="1:6" s="53" customFormat="1" ht="20.100000000000001" customHeight="1">
      <c r="A51" s="155"/>
      <c r="B51" s="115" t="s">
        <v>863</v>
      </c>
      <c r="C51" s="115" t="s">
        <v>858</v>
      </c>
      <c r="D51" s="115" t="s">
        <v>886</v>
      </c>
      <c r="E51" s="86" t="s">
        <v>833</v>
      </c>
      <c r="F51" s="336">
        <v>125400</v>
      </c>
    </row>
    <row r="52" spans="1:6" s="113" customFormat="1" ht="20.100000000000001" customHeight="1">
      <c r="A52" s="154" t="s">
        <v>863</v>
      </c>
      <c r="B52" s="117" t="s">
        <v>863</v>
      </c>
      <c r="C52" s="524" t="s">
        <v>871</v>
      </c>
      <c r="D52" s="525"/>
      <c r="E52" s="526"/>
      <c r="F52" s="335">
        <f>SUM(F53:F59)</f>
        <v>21169969</v>
      </c>
    </row>
    <row r="53" spans="1:6" s="53" customFormat="1" ht="20.100000000000001" customHeight="1">
      <c r="A53" s="155"/>
      <c r="B53" s="115" t="s">
        <v>863</v>
      </c>
      <c r="C53" s="115" t="s">
        <v>863</v>
      </c>
      <c r="D53" s="115" t="s">
        <v>882</v>
      </c>
      <c r="E53" s="86" t="s">
        <v>872</v>
      </c>
      <c r="F53" s="336">
        <v>698700</v>
      </c>
    </row>
    <row r="54" spans="1:6" s="53" customFormat="1" ht="20.100000000000001" customHeight="1">
      <c r="A54" s="155"/>
      <c r="B54" s="115" t="s">
        <v>863</v>
      </c>
      <c r="C54" s="115" t="s">
        <v>863</v>
      </c>
      <c r="D54" s="115" t="s">
        <v>859</v>
      </c>
      <c r="E54" s="86" t="s">
        <v>834</v>
      </c>
      <c r="F54" s="336">
        <v>459800</v>
      </c>
    </row>
    <row r="55" spans="1:6" s="53" customFormat="1" ht="20.100000000000001" customHeight="1">
      <c r="A55" s="155"/>
      <c r="B55" s="115" t="s">
        <v>863</v>
      </c>
      <c r="C55" s="115" t="s">
        <v>863</v>
      </c>
      <c r="D55" s="115" t="s">
        <v>860</v>
      </c>
      <c r="E55" s="86" t="s">
        <v>835</v>
      </c>
      <c r="F55" s="336">
        <v>1432992</v>
      </c>
    </row>
    <row r="56" spans="1:6" s="53" customFormat="1" ht="20.100000000000001" customHeight="1">
      <c r="A56" s="155"/>
      <c r="B56" s="115" t="s">
        <v>863</v>
      </c>
      <c r="C56" s="115" t="s">
        <v>863</v>
      </c>
      <c r="D56" s="115" t="s">
        <v>885</v>
      </c>
      <c r="E56" s="86" t="s">
        <v>873</v>
      </c>
      <c r="F56" s="336">
        <v>7286682</v>
      </c>
    </row>
    <row r="57" spans="1:6" s="53" customFormat="1" ht="20.100000000000001" customHeight="1">
      <c r="A57" s="155"/>
      <c r="B57" s="115" t="s">
        <v>863</v>
      </c>
      <c r="C57" s="115" t="s">
        <v>863</v>
      </c>
      <c r="D57" s="115" t="s">
        <v>861</v>
      </c>
      <c r="E57" s="86" t="s">
        <v>874</v>
      </c>
      <c r="F57" s="336">
        <v>7581479</v>
      </c>
    </row>
    <row r="58" spans="1:6" s="53" customFormat="1" ht="20.100000000000001" customHeight="1">
      <c r="A58" s="155"/>
      <c r="B58" s="115" t="s">
        <v>863</v>
      </c>
      <c r="C58" s="115" t="s">
        <v>863</v>
      </c>
      <c r="D58" s="115" t="s">
        <v>886</v>
      </c>
      <c r="E58" s="86" t="s">
        <v>647</v>
      </c>
      <c r="F58" s="336"/>
    </row>
    <row r="59" spans="1:6" s="53" customFormat="1" ht="20.100000000000001" customHeight="1">
      <c r="A59" s="155"/>
      <c r="B59" s="115" t="s">
        <v>863</v>
      </c>
      <c r="C59" s="115" t="s">
        <v>863</v>
      </c>
      <c r="D59" s="115" t="s">
        <v>862</v>
      </c>
      <c r="E59" s="86" t="s">
        <v>649</v>
      </c>
      <c r="F59" s="336">
        <v>3710316</v>
      </c>
    </row>
    <row r="60" spans="1:6" s="113" customFormat="1" ht="20.100000000000001" customHeight="1">
      <c r="A60" s="154" t="s">
        <v>863</v>
      </c>
      <c r="B60" s="117" t="s">
        <v>883</v>
      </c>
      <c r="C60" s="524" t="s">
        <v>651</v>
      </c>
      <c r="D60" s="525"/>
      <c r="E60" s="526"/>
      <c r="F60" s="335">
        <f>SUM(F61:F65)</f>
        <v>0</v>
      </c>
    </row>
    <row r="61" spans="1:6" s="53" customFormat="1" ht="20.100000000000001" customHeight="1">
      <c r="A61" s="155"/>
      <c r="B61" s="115" t="s">
        <v>863</v>
      </c>
      <c r="C61" s="115" t="s">
        <v>883</v>
      </c>
      <c r="D61" s="115" t="s">
        <v>882</v>
      </c>
      <c r="E61" s="86" t="s">
        <v>653</v>
      </c>
      <c r="F61" s="336"/>
    </row>
    <row r="62" spans="1:6" s="53" customFormat="1" ht="20.100000000000001" customHeight="1">
      <c r="A62" s="155"/>
      <c r="B62" s="115" t="s">
        <v>863</v>
      </c>
      <c r="C62" s="115" t="s">
        <v>883</v>
      </c>
      <c r="D62" s="115" t="s">
        <v>859</v>
      </c>
      <c r="E62" s="86" t="s">
        <v>655</v>
      </c>
      <c r="F62" s="336"/>
    </row>
    <row r="63" spans="1:6" s="53" customFormat="1" ht="20.100000000000001" customHeight="1">
      <c r="A63" s="155"/>
      <c r="B63" s="115" t="s">
        <v>863</v>
      </c>
      <c r="C63" s="115" t="s">
        <v>883</v>
      </c>
      <c r="D63" s="115" t="s">
        <v>860</v>
      </c>
      <c r="E63" s="86" t="s">
        <v>657</v>
      </c>
      <c r="F63" s="336"/>
    </row>
    <row r="64" spans="1:6" s="53" customFormat="1" ht="20.100000000000001" customHeight="1">
      <c r="A64" s="155"/>
      <c r="B64" s="115" t="s">
        <v>863</v>
      </c>
      <c r="C64" s="115" t="s">
        <v>883</v>
      </c>
      <c r="D64" s="115" t="s">
        <v>885</v>
      </c>
      <c r="E64" s="86" t="s">
        <v>659</v>
      </c>
      <c r="F64" s="336"/>
    </row>
    <row r="65" spans="1:6" s="53" customFormat="1" ht="20.100000000000001" customHeight="1">
      <c r="A65" s="155"/>
      <c r="B65" s="115" t="s">
        <v>863</v>
      </c>
      <c r="C65" s="115" t="s">
        <v>883</v>
      </c>
      <c r="D65" s="115" t="s">
        <v>861</v>
      </c>
      <c r="E65" s="86" t="s">
        <v>661</v>
      </c>
      <c r="F65" s="336"/>
    </row>
    <row r="66" spans="1:6" s="113" customFormat="1" ht="20.100000000000001" customHeight="1">
      <c r="A66" s="154" t="s">
        <v>863</v>
      </c>
      <c r="B66" s="117" t="s">
        <v>884</v>
      </c>
      <c r="C66" s="524" t="s">
        <v>663</v>
      </c>
      <c r="D66" s="525"/>
      <c r="E66" s="526"/>
      <c r="F66" s="335">
        <f>SUM(F67:F70)</f>
        <v>2767000</v>
      </c>
    </row>
    <row r="67" spans="1:6" s="53" customFormat="1" ht="20.100000000000001" customHeight="1">
      <c r="A67" s="155"/>
      <c r="B67" s="115" t="s">
        <v>863</v>
      </c>
      <c r="C67" s="115" t="s">
        <v>884</v>
      </c>
      <c r="D67" s="115" t="s">
        <v>882</v>
      </c>
      <c r="E67" s="86" t="s">
        <v>665</v>
      </c>
      <c r="F67" s="336">
        <v>587000</v>
      </c>
    </row>
    <row r="68" spans="1:6" s="53" customFormat="1" ht="20.100000000000001" customHeight="1">
      <c r="A68" s="155"/>
      <c r="B68" s="115" t="s">
        <v>863</v>
      </c>
      <c r="C68" s="115" t="s">
        <v>884</v>
      </c>
      <c r="D68" s="115" t="s">
        <v>859</v>
      </c>
      <c r="E68" s="86" t="s">
        <v>667</v>
      </c>
      <c r="F68" s="336">
        <v>2180000</v>
      </c>
    </row>
    <row r="69" spans="1:6" s="53" customFormat="1" ht="20.100000000000001" customHeight="1">
      <c r="A69" s="155"/>
      <c r="B69" s="115" t="s">
        <v>863</v>
      </c>
      <c r="C69" s="115" t="s">
        <v>884</v>
      </c>
      <c r="D69" s="115" t="s">
        <v>860</v>
      </c>
      <c r="E69" s="86" t="s">
        <v>669</v>
      </c>
      <c r="F69" s="336"/>
    </row>
    <row r="70" spans="1:6" s="53" customFormat="1" ht="20.100000000000001" customHeight="1">
      <c r="A70" s="155"/>
      <c r="B70" s="115" t="s">
        <v>863</v>
      </c>
      <c r="C70" s="115" t="s">
        <v>884</v>
      </c>
      <c r="D70" s="115" t="s">
        <v>885</v>
      </c>
      <c r="E70" s="86" t="s">
        <v>671</v>
      </c>
      <c r="F70" s="336"/>
    </row>
    <row r="71" spans="1:6" s="113" customFormat="1" ht="20.100000000000001" customHeight="1">
      <c r="A71" s="154" t="s">
        <v>863</v>
      </c>
      <c r="B71" s="117" t="s">
        <v>889</v>
      </c>
      <c r="C71" s="524" t="s">
        <v>673</v>
      </c>
      <c r="D71" s="525"/>
      <c r="E71" s="526"/>
      <c r="F71" s="335">
        <f>SUM(F72:F77)</f>
        <v>812900</v>
      </c>
    </row>
    <row r="72" spans="1:6" s="53" customFormat="1" ht="20.100000000000001" customHeight="1">
      <c r="A72" s="155"/>
      <c r="B72" s="115" t="s">
        <v>863</v>
      </c>
      <c r="C72" s="115" t="s">
        <v>889</v>
      </c>
      <c r="D72" s="115" t="s">
        <v>882</v>
      </c>
      <c r="E72" s="86" t="s">
        <v>675</v>
      </c>
      <c r="F72" s="336">
        <v>812900</v>
      </c>
    </row>
    <row r="73" spans="1:6" s="53" customFormat="1" ht="20.100000000000001" customHeight="1">
      <c r="A73" s="155"/>
      <c r="B73" s="115" t="s">
        <v>863</v>
      </c>
      <c r="C73" s="115" t="s">
        <v>889</v>
      </c>
      <c r="D73" s="115" t="s">
        <v>859</v>
      </c>
      <c r="E73" s="86" t="s">
        <v>677</v>
      </c>
      <c r="F73" s="336"/>
    </row>
    <row r="74" spans="1:6" s="53" customFormat="1" ht="20.100000000000001" customHeight="1">
      <c r="A74" s="155"/>
      <c r="B74" s="115" t="s">
        <v>863</v>
      </c>
      <c r="C74" s="115" t="s">
        <v>889</v>
      </c>
      <c r="D74" s="115" t="s">
        <v>860</v>
      </c>
      <c r="E74" s="86" t="s">
        <v>679</v>
      </c>
      <c r="F74" s="336"/>
    </row>
    <row r="75" spans="1:6" s="53" customFormat="1" ht="20.100000000000001" customHeight="1">
      <c r="A75" s="155"/>
      <c r="B75" s="115" t="s">
        <v>863</v>
      </c>
      <c r="C75" s="115" t="s">
        <v>889</v>
      </c>
      <c r="D75" s="115" t="s">
        <v>885</v>
      </c>
      <c r="E75" s="86" t="s">
        <v>681</v>
      </c>
      <c r="F75" s="336"/>
    </row>
    <row r="76" spans="1:6" s="53" customFormat="1" ht="20.100000000000001" customHeight="1">
      <c r="A76" s="155"/>
      <c r="B76" s="115" t="s">
        <v>863</v>
      </c>
      <c r="C76" s="115" t="s">
        <v>889</v>
      </c>
      <c r="D76" s="115" t="s">
        <v>861</v>
      </c>
      <c r="E76" s="86" t="s">
        <v>683</v>
      </c>
      <c r="F76" s="336"/>
    </row>
    <row r="77" spans="1:6" s="53" customFormat="1" ht="20.100000000000001" customHeight="1">
      <c r="A77" s="155"/>
      <c r="B77" s="115" t="s">
        <v>863</v>
      </c>
      <c r="C77" s="115" t="s">
        <v>889</v>
      </c>
      <c r="D77" s="115" t="s">
        <v>886</v>
      </c>
      <c r="E77" s="86" t="s">
        <v>685</v>
      </c>
      <c r="F77" s="336"/>
    </row>
    <row r="78" spans="1:6" s="113" customFormat="1" ht="20.100000000000001" customHeight="1">
      <c r="A78" s="154" t="s">
        <v>863</v>
      </c>
      <c r="B78" s="117" t="s">
        <v>890</v>
      </c>
      <c r="C78" s="524" t="s">
        <v>687</v>
      </c>
      <c r="D78" s="525"/>
      <c r="E78" s="526"/>
      <c r="F78" s="335">
        <f>SUM(F79:F87)</f>
        <v>11471479</v>
      </c>
    </row>
    <row r="79" spans="1:6" s="53" customFormat="1" ht="20.100000000000001" customHeight="1">
      <c r="A79" s="155"/>
      <c r="B79" s="115" t="s">
        <v>863</v>
      </c>
      <c r="C79" s="115" t="s">
        <v>890</v>
      </c>
      <c r="D79" s="115" t="s">
        <v>882</v>
      </c>
      <c r="E79" s="86" t="s">
        <v>689</v>
      </c>
      <c r="F79" s="336"/>
    </row>
    <row r="80" spans="1:6" s="53" customFormat="1" ht="20.100000000000001" customHeight="1">
      <c r="A80" s="155"/>
      <c r="B80" s="115" t="s">
        <v>863</v>
      </c>
      <c r="C80" s="115" t="s">
        <v>890</v>
      </c>
      <c r="D80" s="115" t="s">
        <v>859</v>
      </c>
      <c r="E80" s="86" t="s">
        <v>691</v>
      </c>
      <c r="F80" s="336"/>
    </row>
    <row r="81" spans="1:6" s="53" customFormat="1" ht="20.100000000000001" customHeight="1">
      <c r="A81" s="155"/>
      <c r="B81" s="115" t="s">
        <v>863</v>
      </c>
      <c r="C81" s="115" t="s">
        <v>890</v>
      </c>
      <c r="D81" s="115" t="s">
        <v>860</v>
      </c>
      <c r="E81" s="86" t="s">
        <v>693</v>
      </c>
      <c r="F81" s="336">
        <v>3890000</v>
      </c>
    </row>
    <row r="82" spans="1:6" s="53" customFormat="1" ht="20.100000000000001" customHeight="1">
      <c r="A82" s="155"/>
      <c r="B82" s="115" t="s">
        <v>863</v>
      </c>
      <c r="C82" s="115" t="s">
        <v>890</v>
      </c>
      <c r="D82" s="115" t="s">
        <v>885</v>
      </c>
      <c r="E82" s="86" t="s">
        <v>695</v>
      </c>
      <c r="F82" s="336"/>
    </row>
    <row r="83" spans="1:6" s="53" customFormat="1" ht="20.100000000000001" customHeight="1">
      <c r="A83" s="155"/>
      <c r="B83" s="115" t="s">
        <v>863</v>
      </c>
      <c r="C83" s="115" t="s">
        <v>890</v>
      </c>
      <c r="D83" s="115" t="s">
        <v>861</v>
      </c>
      <c r="E83" s="86" t="s">
        <v>697</v>
      </c>
      <c r="F83" s="336"/>
    </row>
    <row r="84" spans="1:6" s="53" customFormat="1" ht="20.100000000000001" customHeight="1">
      <c r="A84" s="155"/>
      <c r="B84" s="115" t="s">
        <v>863</v>
      </c>
      <c r="C84" s="115" t="s">
        <v>890</v>
      </c>
      <c r="D84" s="115" t="s">
        <v>886</v>
      </c>
      <c r="E84" s="86" t="s">
        <v>699</v>
      </c>
      <c r="F84" s="336">
        <v>7581479</v>
      </c>
    </row>
    <row r="85" spans="1:6" s="53" customFormat="1" ht="20.100000000000001" customHeight="1">
      <c r="A85" s="155"/>
      <c r="B85" s="115" t="s">
        <v>863</v>
      </c>
      <c r="C85" s="115" t="s">
        <v>890</v>
      </c>
      <c r="D85" s="115" t="s">
        <v>862</v>
      </c>
      <c r="E85" s="86" t="s">
        <v>701</v>
      </c>
      <c r="F85" s="336"/>
    </row>
    <row r="86" spans="1:6" s="53" customFormat="1" ht="20.100000000000001" customHeight="1">
      <c r="A86" s="155"/>
      <c r="B86" s="115" t="s">
        <v>863</v>
      </c>
      <c r="C86" s="115" t="s">
        <v>890</v>
      </c>
      <c r="D86" s="115" t="s">
        <v>887</v>
      </c>
      <c r="E86" s="86" t="s">
        <v>836</v>
      </c>
      <c r="F86" s="336"/>
    </row>
    <row r="87" spans="1:6" s="53" customFormat="1" ht="20.100000000000001" customHeight="1">
      <c r="A87" s="155"/>
      <c r="B87" s="115" t="s">
        <v>863</v>
      </c>
      <c r="C87" s="115" t="s">
        <v>890</v>
      </c>
      <c r="D87" s="115" t="s">
        <v>888</v>
      </c>
      <c r="E87" s="86" t="s">
        <v>875</v>
      </c>
      <c r="F87" s="336"/>
    </row>
    <row r="88" spans="1:6" s="113" customFormat="1" ht="20.100000000000001" customHeight="1">
      <c r="A88" s="154" t="s">
        <v>863</v>
      </c>
      <c r="B88" s="117" t="s">
        <v>891</v>
      </c>
      <c r="C88" s="524" t="s">
        <v>707</v>
      </c>
      <c r="D88" s="525"/>
      <c r="E88" s="526"/>
      <c r="F88" s="335">
        <f>SUM(F89)</f>
        <v>0</v>
      </c>
    </row>
    <row r="89" spans="1:6" s="53" customFormat="1" ht="20.100000000000001" customHeight="1">
      <c r="A89" s="155"/>
      <c r="B89" s="115" t="s">
        <v>863</v>
      </c>
      <c r="C89" s="115" t="s">
        <v>891</v>
      </c>
      <c r="D89" s="115" t="s">
        <v>882</v>
      </c>
      <c r="E89" s="86" t="s">
        <v>709</v>
      </c>
      <c r="F89" s="336"/>
    </row>
    <row r="90" spans="1:6" s="113" customFormat="1" ht="20.100000000000001" customHeight="1">
      <c r="A90" s="261" t="s">
        <v>860</v>
      </c>
      <c r="B90" s="521" t="s">
        <v>711</v>
      </c>
      <c r="C90" s="522"/>
      <c r="D90" s="522"/>
      <c r="E90" s="523"/>
      <c r="F90" s="334">
        <f>SUM(F91+F94+F101+F108+F112+F119+F121+F124+F129)</f>
        <v>8135700</v>
      </c>
    </row>
    <row r="91" spans="1:6" s="113" customFormat="1" ht="20.100000000000001" customHeight="1">
      <c r="A91" s="154" t="s">
        <v>883</v>
      </c>
      <c r="B91" s="117" t="s">
        <v>858</v>
      </c>
      <c r="C91" s="524" t="s">
        <v>713</v>
      </c>
      <c r="D91" s="525"/>
      <c r="E91" s="526"/>
      <c r="F91" s="335">
        <f>SUM(F92:F93)</f>
        <v>0</v>
      </c>
    </row>
    <row r="92" spans="1:6" s="53" customFormat="1" ht="20.100000000000001" customHeight="1">
      <c r="A92" s="155"/>
      <c r="B92" s="115" t="s">
        <v>883</v>
      </c>
      <c r="C92" s="115" t="s">
        <v>858</v>
      </c>
      <c r="D92" s="115" t="s">
        <v>882</v>
      </c>
      <c r="E92" s="86" t="s">
        <v>715</v>
      </c>
      <c r="F92" s="336"/>
    </row>
    <row r="93" spans="1:6" s="53" customFormat="1" ht="20.100000000000001" customHeight="1">
      <c r="A93" s="155"/>
      <c r="B93" s="115" t="s">
        <v>883</v>
      </c>
      <c r="C93" s="115" t="s">
        <v>858</v>
      </c>
      <c r="D93" s="115" t="s">
        <v>859</v>
      </c>
      <c r="E93" s="86" t="s">
        <v>717</v>
      </c>
      <c r="F93" s="336"/>
    </row>
    <row r="94" spans="1:6" s="113" customFormat="1" ht="20.100000000000001" customHeight="1">
      <c r="A94" s="154" t="s">
        <v>883</v>
      </c>
      <c r="B94" s="117" t="s">
        <v>863</v>
      </c>
      <c r="C94" s="524" t="s">
        <v>719</v>
      </c>
      <c r="D94" s="525"/>
      <c r="E94" s="526"/>
      <c r="F94" s="335">
        <f>SUM(F95:F100)</f>
        <v>877000</v>
      </c>
    </row>
    <row r="95" spans="1:6" s="53" customFormat="1" ht="20.100000000000001" customHeight="1">
      <c r="A95" s="155"/>
      <c r="B95" s="115" t="s">
        <v>883</v>
      </c>
      <c r="C95" s="115" t="s">
        <v>863</v>
      </c>
      <c r="D95" s="115" t="s">
        <v>882</v>
      </c>
      <c r="E95" s="86" t="s">
        <v>721</v>
      </c>
      <c r="F95" s="336">
        <v>877000</v>
      </c>
    </row>
    <row r="96" spans="1:6" s="53" customFormat="1" ht="20.100000000000001" customHeight="1">
      <c r="A96" s="155"/>
      <c r="B96" s="115" t="s">
        <v>883</v>
      </c>
      <c r="C96" s="115" t="s">
        <v>863</v>
      </c>
      <c r="D96" s="115" t="s">
        <v>859</v>
      </c>
      <c r="E96" s="86" t="s">
        <v>723</v>
      </c>
      <c r="F96" s="336"/>
    </row>
    <row r="97" spans="1:6" s="53" customFormat="1" ht="20.100000000000001" customHeight="1">
      <c r="A97" s="155"/>
      <c r="B97" s="115" t="s">
        <v>883</v>
      </c>
      <c r="C97" s="115" t="s">
        <v>863</v>
      </c>
      <c r="D97" s="115" t="s">
        <v>860</v>
      </c>
      <c r="E97" s="86" t="s">
        <v>725</v>
      </c>
      <c r="F97" s="336"/>
    </row>
    <row r="98" spans="1:6" s="53" customFormat="1" ht="20.100000000000001" customHeight="1">
      <c r="A98" s="155"/>
      <c r="B98" s="115" t="s">
        <v>883</v>
      </c>
      <c r="C98" s="115" t="s">
        <v>863</v>
      </c>
      <c r="D98" s="115" t="s">
        <v>885</v>
      </c>
      <c r="E98" s="86" t="s">
        <v>727</v>
      </c>
      <c r="F98" s="336"/>
    </row>
    <row r="99" spans="1:6" s="53" customFormat="1" ht="20.100000000000001" customHeight="1">
      <c r="A99" s="155"/>
      <c r="B99" s="115" t="s">
        <v>883</v>
      </c>
      <c r="C99" s="115" t="s">
        <v>863</v>
      </c>
      <c r="D99" s="115" t="s">
        <v>861</v>
      </c>
      <c r="E99" s="86" t="s">
        <v>729</v>
      </c>
      <c r="F99" s="336"/>
    </row>
    <row r="100" spans="1:6" s="53" customFormat="1" ht="20.100000000000001" customHeight="1">
      <c r="A100" s="155"/>
      <c r="B100" s="115" t="s">
        <v>883</v>
      </c>
      <c r="C100" s="115" t="s">
        <v>863</v>
      </c>
      <c r="D100" s="115" t="s">
        <v>886</v>
      </c>
      <c r="E100" s="86" t="s">
        <v>876</v>
      </c>
      <c r="F100" s="336"/>
    </row>
    <row r="101" spans="1:6" s="113" customFormat="1" ht="20.100000000000001" customHeight="1">
      <c r="A101" s="154" t="s">
        <v>883</v>
      </c>
      <c r="B101" s="117" t="s">
        <v>883</v>
      </c>
      <c r="C101" s="524" t="s">
        <v>733</v>
      </c>
      <c r="D101" s="525"/>
      <c r="E101" s="526"/>
      <c r="F101" s="335">
        <f>SUM(F102:F107)</f>
        <v>0</v>
      </c>
    </row>
    <row r="102" spans="1:6" s="53" customFormat="1" ht="20.100000000000001" customHeight="1">
      <c r="A102" s="155"/>
      <c r="B102" s="115" t="s">
        <v>883</v>
      </c>
      <c r="C102" s="115" t="s">
        <v>883</v>
      </c>
      <c r="D102" s="115" t="s">
        <v>882</v>
      </c>
      <c r="E102" s="86" t="s">
        <v>735</v>
      </c>
      <c r="F102" s="336"/>
    </row>
    <row r="103" spans="1:6" s="53" customFormat="1" ht="20.100000000000001" customHeight="1">
      <c r="A103" s="155"/>
      <c r="B103" s="115" t="s">
        <v>883</v>
      </c>
      <c r="C103" s="115" t="s">
        <v>883</v>
      </c>
      <c r="D103" s="115" t="s">
        <v>859</v>
      </c>
      <c r="E103" s="86" t="s">
        <v>737</v>
      </c>
      <c r="F103" s="336"/>
    </row>
    <row r="104" spans="1:6" s="53" customFormat="1" ht="20.100000000000001" customHeight="1">
      <c r="A104" s="155"/>
      <c r="B104" s="115" t="s">
        <v>883</v>
      </c>
      <c r="C104" s="115" t="s">
        <v>883</v>
      </c>
      <c r="D104" s="115" t="s">
        <v>860</v>
      </c>
      <c r="E104" s="86" t="s">
        <v>739</v>
      </c>
      <c r="F104" s="336"/>
    </row>
    <row r="105" spans="1:6" s="53" customFormat="1" ht="20.100000000000001" customHeight="1">
      <c r="A105" s="155"/>
      <c r="B105" s="115" t="s">
        <v>883</v>
      </c>
      <c r="C105" s="115" t="s">
        <v>883</v>
      </c>
      <c r="D105" s="115" t="s">
        <v>885</v>
      </c>
      <c r="E105" s="86" t="s">
        <v>741</v>
      </c>
      <c r="F105" s="336"/>
    </row>
    <row r="106" spans="1:6" s="53" customFormat="1" ht="20.100000000000001" customHeight="1">
      <c r="A106" s="155"/>
      <c r="B106" s="115" t="s">
        <v>883</v>
      </c>
      <c r="C106" s="115" t="s">
        <v>883</v>
      </c>
      <c r="D106" s="115" t="s">
        <v>861</v>
      </c>
      <c r="E106" s="86" t="s">
        <v>743</v>
      </c>
      <c r="F106" s="336"/>
    </row>
    <row r="107" spans="1:6" s="53" customFormat="1" ht="20.100000000000001" customHeight="1">
      <c r="A107" s="155"/>
      <c r="B107" s="115" t="s">
        <v>883</v>
      </c>
      <c r="C107" s="115" t="s">
        <v>883</v>
      </c>
      <c r="D107" s="115" t="s">
        <v>886</v>
      </c>
      <c r="E107" s="86" t="s">
        <v>745</v>
      </c>
      <c r="F107" s="336"/>
    </row>
    <row r="108" spans="1:6" s="113" customFormat="1" ht="20.100000000000001" customHeight="1">
      <c r="A108" s="154" t="s">
        <v>883</v>
      </c>
      <c r="B108" s="117" t="s">
        <v>884</v>
      </c>
      <c r="C108" s="524" t="s">
        <v>747</v>
      </c>
      <c r="D108" s="525"/>
      <c r="E108" s="526"/>
      <c r="F108" s="335">
        <f>SUM(F109:F111)</f>
        <v>0</v>
      </c>
    </row>
    <row r="109" spans="1:6" s="53" customFormat="1" ht="20.100000000000001" customHeight="1">
      <c r="A109" s="155"/>
      <c r="B109" s="115" t="s">
        <v>883</v>
      </c>
      <c r="C109" s="115" t="s">
        <v>884</v>
      </c>
      <c r="D109" s="115" t="s">
        <v>882</v>
      </c>
      <c r="E109" s="86" t="s">
        <v>749</v>
      </c>
      <c r="F109" s="336"/>
    </row>
    <row r="110" spans="1:6" s="53" customFormat="1" ht="20.100000000000001" customHeight="1">
      <c r="A110" s="155"/>
      <c r="B110" s="115" t="s">
        <v>883</v>
      </c>
      <c r="C110" s="115" t="s">
        <v>884</v>
      </c>
      <c r="D110" s="115" t="s">
        <v>859</v>
      </c>
      <c r="E110" s="86" t="s">
        <v>751</v>
      </c>
      <c r="F110" s="336"/>
    </row>
    <row r="111" spans="1:6" s="53" customFormat="1" ht="20.100000000000001" customHeight="1">
      <c r="A111" s="155"/>
      <c r="B111" s="115" t="s">
        <v>883</v>
      </c>
      <c r="C111" s="115" t="s">
        <v>884</v>
      </c>
      <c r="D111" s="115" t="s">
        <v>860</v>
      </c>
      <c r="E111" s="86" t="s">
        <v>753</v>
      </c>
      <c r="F111" s="336"/>
    </row>
    <row r="112" spans="1:6" s="113" customFormat="1" ht="20.100000000000001" customHeight="1">
      <c r="A112" s="154" t="s">
        <v>883</v>
      </c>
      <c r="B112" s="117" t="s">
        <v>889</v>
      </c>
      <c r="C112" s="524" t="s">
        <v>755</v>
      </c>
      <c r="D112" s="525"/>
      <c r="E112" s="526"/>
      <c r="F112" s="335">
        <f>SUM(F113:F118)</f>
        <v>0</v>
      </c>
    </row>
    <row r="113" spans="1:6" s="53" customFormat="1" ht="20.100000000000001" customHeight="1">
      <c r="A113" s="155"/>
      <c r="B113" s="115" t="s">
        <v>883</v>
      </c>
      <c r="C113" s="115" t="s">
        <v>889</v>
      </c>
      <c r="D113" s="115" t="s">
        <v>882</v>
      </c>
      <c r="E113" s="86" t="s">
        <v>757</v>
      </c>
      <c r="F113" s="336"/>
    </row>
    <row r="114" spans="1:6" s="53" customFormat="1" ht="20.100000000000001" customHeight="1">
      <c r="A114" s="155"/>
      <c r="B114" s="115" t="s">
        <v>883</v>
      </c>
      <c r="C114" s="115" t="s">
        <v>889</v>
      </c>
      <c r="D114" s="115" t="s">
        <v>859</v>
      </c>
      <c r="E114" s="86" t="s">
        <v>759</v>
      </c>
      <c r="F114" s="336"/>
    </row>
    <row r="115" spans="1:6" s="53" customFormat="1" ht="20.100000000000001" customHeight="1">
      <c r="A115" s="155"/>
      <c r="B115" s="115" t="s">
        <v>883</v>
      </c>
      <c r="C115" s="115" t="s">
        <v>889</v>
      </c>
      <c r="D115" s="115" t="s">
        <v>860</v>
      </c>
      <c r="E115" s="86" t="s">
        <v>761</v>
      </c>
      <c r="F115" s="336"/>
    </row>
    <row r="116" spans="1:6" s="53" customFormat="1" ht="20.100000000000001" customHeight="1">
      <c r="A116" s="155"/>
      <c r="B116" s="115" t="s">
        <v>883</v>
      </c>
      <c r="C116" s="115" t="s">
        <v>889</v>
      </c>
      <c r="D116" s="115" t="s">
        <v>885</v>
      </c>
      <c r="E116" s="86" t="s">
        <v>763</v>
      </c>
      <c r="F116" s="336"/>
    </row>
    <row r="117" spans="1:6" s="53" customFormat="1" ht="20.100000000000001" customHeight="1">
      <c r="A117" s="155"/>
      <c r="B117" s="115" t="s">
        <v>883</v>
      </c>
      <c r="C117" s="115" t="s">
        <v>889</v>
      </c>
      <c r="D117" s="115" t="s">
        <v>861</v>
      </c>
      <c r="E117" s="86" t="s">
        <v>877</v>
      </c>
      <c r="F117" s="336"/>
    </row>
    <row r="118" spans="1:6" s="53" customFormat="1" ht="20.100000000000001" customHeight="1">
      <c r="A118" s="155"/>
      <c r="B118" s="115" t="s">
        <v>883</v>
      </c>
      <c r="C118" s="115" t="s">
        <v>889</v>
      </c>
      <c r="D118" s="115" t="s">
        <v>886</v>
      </c>
      <c r="E118" s="86" t="s">
        <v>767</v>
      </c>
      <c r="F118" s="336"/>
    </row>
    <row r="119" spans="1:6" s="113" customFormat="1" ht="20.100000000000001" customHeight="1">
      <c r="A119" s="154" t="s">
        <v>883</v>
      </c>
      <c r="B119" s="117" t="s">
        <v>890</v>
      </c>
      <c r="C119" s="524" t="s">
        <v>878</v>
      </c>
      <c r="D119" s="525"/>
      <c r="E119" s="526"/>
      <c r="F119" s="335">
        <f>SUM(F120)</f>
        <v>6800000</v>
      </c>
    </row>
    <row r="120" spans="1:6" s="53" customFormat="1" ht="20.100000000000001" customHeight="1">
      <c r="A120" s="155"/>
      <c r="B120" s="115" t="s">
        <v>883</v>
      </c>
      <c r="C120" s="115" t="s">
        <v>890</v>
      </c>
      <c r="D120" s="115" t="s">
        <v>882</v>
      </c>
      <c r="E120" s="86" t="s">
        <v>771</v>
      </c>
      <c r="F120" s="336">
        <v>6800000</v>
      </c>
    </row>
    <row r="121" spans="1:6" s="113" customFormat="1" ht="20.100000000000001" customHeight="1">
      <c r="A121" s="154" t="s">
        <v>883</v>
      </c>
      <c r="B121" s="117" t="s">
        <v>891</v>
      </c>
      <c r="C121" s="524" t="s">
        <v>773</v>
      </c>
      <c r="D121" s="525"/>
      <c r="E121" s="526"/>
      <c r="F121" s="335">
        <f>SUM(F122:F123)</f>
        <v>458700</v>
      </c>
    </row>
    <row r="122" spans="1:6" s="53" customFormat="1" ht="20.100000000000001" customHeight="1">
      <c r="A122" s="155"/>
      <c r="B122" s="115" t="s">
        <v>883</v>
      </c>
      <c r="C122" s="115" t="s">
        <v>891</v>
      </c>
      <c r="D122" s="115" t="s">
        <v>882</v>
      </c>
      <c r="E122" s="86" t="s">
        <v>775</v>
      </c>
      <c r="F122" s="336">
        <v>458700</v>
      </c>
    </row>
    <row r="123" spans="1:6" s="53" customFormat="1" ht="20.100000000000001" customHeight="1">
      <c r="A123" s="155"/>
      <c r="B123" s="115" t="s">
        <v>883</v>
      </c>
      <c r="C123" s="115" t="s">
        <v>891</v>
      </c>
      <c r="D123" s="115" t="s">
        <v>859</v>
      </c>
      <c r="E123" s="86" t="s">
        <v>777</v>
      </c>
      <c r="F123" s="336"/>
    </row>
    <row r="124" spans="1:6" s="113" customFormat="1" ht="20.100000000000001" customHeight="1">
      <c r="A124" s="154" t="s">
        <v>883</v>
      </c>
      <c r="B124" s="117" t="s">
        <v>892</v>
      </c>
      <c r="C124" s="524" t="s">
        <v>879</v>
      </c>
      <c r="D124" s="525"/>
      <c r="E124" s="526"/>
      <c r="F124" s="335">
        <f>SUM(F125:F128)</f>
        <v>0</v>
      </c>
    </row>
    <row r="125" spans="1:6" s="53" customFormat="1" ht="20.100000000000001" customHeight="1">
      <c r="A125" s="155"/>
      <c r="B125" s="115" t="s">
        <v>883</v>
      </c>
      <c r="C125" s="115" t="s">
        <v>892</v>
      </c>
      <c r="D125" s="115" t="s">
        <v>882</v>
      </c>
      <c r="E125" s="86" t="s">
        <v>781</v>
      </c>
      <c r="F125" s="336"/>
    </row>
    <row r="126" spans="1:6" s="53" customFormat="1" ht="20.100000000000001" customHeight="1">
      <c r="A126" s="155"/>
      <c r="B126" s="115" t="s">
        <v>883</v>
      </c>
      <c r="C126" s="115" t="s">
        <v>892</v>
      </c>
      <c r="D126" s="115" t="s">
        <v>859</v>
      </c>
      <c r="E126" s="86" t="s">
        <v>783</v>
      </c>
      <c r="F126" s="336"/>
    </row>
    <row r="127" spans="1:6" s="53" customFormat="1" ht="20.100000000000001" customHeight="1">
      <c r="A127" s="155"/>
      <c r="B127" s="115" t="s">
        <v>883</v>
      </c>
      <c r="C127" s="115" t="s">
        <v>892</v>
      </c>
      <c r="D127" s="115" t="s">
        <v>860</v>
      </c>
      <c r="E127" s="86" t="s">
        <v>785</v>
      </c>
      <c r="F127" s="336"/>
    </row>
    <row r="128" spans="1:6" s="53" customFormat="1" ht="20.100000000000001" customHeight="1">
      <c r="A128" s="155"/>
      <c r="B128" s="115" t="s">
        <v>883</v>
      </c>
      <c r="C128" s="115" t="s">
        <v>892</v>
      </c>
      <c r="D128" s="115" t="s">
        <v>885</v>
      </c>
      <c r="E128" s="86" t="s">
        <v>787</v>
      </c>
      <c r="F128" s="336"/>
    </row>
    <row r="129" spans="1:6" s="113" customFormat="1" ht="20.100000000000001" customHeight="1">
      <c r="A129" s="154" t="s">
        <v>883</v>
      </c>
      <c r="B129" s="117" t="s">
        <v>893</v>
      </c>
      <c r="C129" s="524" t="s">
        <v>789</v>
      </c>
      <c r="D129" s="525"/>
      <c r="E129" s="526"/>
      <c r="F129" s="335">
        <f>SUM(F130:F132)</f>
        <v>0</v>
      </c>
    </row>
    <row r="130" spans="1:6" s="53" customFormat="1" ht="20.100000000000001" customHeight="1">
      <c r="A130" s="155"/>
      <c r="B130" s="115" t="s">
        <v>883</v>
      </c>
      <c r="C130" s="115" t="s">
        <v>893</v>
      </c>
      <c r="D130" s="115" t="s">
        <v>882</v>
      </c>
      <c r="E130" s="86" t="s">
        <v>791</v>
      </c>
      <c r="F130" s="336"/>
    </row>
    <row r="131" spans="1:6" s="53" customFormat="1" ht="20.100000000000001" customHeight="1">
      <c r="A131" s="155"/>
      <c r="B131" s="115" t="s">
        <v>883</v>
      </c>
      <c r="C131" s="115" t="s">
        <v>893</v>
      </c>
      <c r="D131" s="115" t="s">
        <v>859</v>
      </c>
      <c r="E131" s="86" t="s">
        <v>793</v>
      </c>
      <c r="F131" s="336"/>
    </row>
    <row r="132" spans="1:6" s="53" customFormat="1" ht="20.100000000000001" customHeight="1">
      <c r="A132" s="155"/>
      <c r="B132" s="115" t="s">
        <v>883</v>
      </c>
      <c r="C132" s="115" t="s">
        <v>893</v>
      </c>
      <c r="D132" s="115" t="s">
        <v>860</v>
      </c>
      <c r="E132" s="86" t="s">
        <v>795</v>
      </c>
      <c r="F132" s="336"/>
    </row>
    <row r="133" spans="1:6" s="113" customFormat="1" ht="20.100000000000001" customHeight="1">
      <c r="A133" s="261" t="s">
        <v>885</v>
      </c>
      <c r="B133" s="521" t="s">
        <v>797</v>
      </c>
      <c r="C133" s="522"/>
      <c r="D133" s="522"/>
      <c r="E133" s="523"/>
      <c r="F133" s="334">
        <f>SUM(F134+F137+F141+F146)</f>
        <v>2003716</v>
      </c>
    </row>
    <row r="134" spans="1:6" s="113" customFormat="1" ht="20.100000000000001" customHeight="1">
      <c r="A134" s="154" t="s">
        <v>884</v>
      </c>
      <c r="B134" s="117" t="s">
        <v>858</v>
      </c>
      <c r="C134" s="524" t="s">
        <v>880</v>
      </c>
      <c r="D134" s="525"/>
      <c r="E134" s="526"/>
      <c r="F134" s="335">
        <f>SUM(F135:F136)</f>
        <v>2003716</v>
      </c>
    </row>
    <row r="135" spans="1:6" s="53" customFormat="1" ht="20.100000000000001" customHeight="1">
      <c r="A135" s="155"/>
      <c r="B135" s="115" t="s">
        <v>884</v>
      </c>
      <c r="C135" s="115" t="s">
        <v>858</v>
      </c>
      <c r="D135" s="115" t="s">
        <v>882</v>
      </c>
      <c r="E135" s="86" t="s">
        <v>801</v>
      </c>
      <c r="F135" s="336"/>
    </row>
    <row r="136" spans="1:6" s="53" customFormat="1" ht="20.100000000000001" customHeight="1">
      <c r="A136" s="155"/>
      <c r="B136" s="115" t="s">
        <v>884</v>
      </c>
      <c r="C136" s="115" t="s">
        <v>858</v>
      </c>
      <c r="D136" s="115" t="s">
        <v>859</v>
      </c>
      <c r="E136" s="86" t="s">
        <v>803</v>
      </c>
      <c r="F136" s="336">
        <v>2003716</v>
      </c>
    </row>
    <row r="137" spans="1:6" s="113" customFormat="1" ht="26.25" customHeight="1">
      <c r="A137" s="154" t="s">
        <v>884</v>
      </c>
      <c r="B137" s="117" t="s">
        <v>863</v>
      </c>
      <c r="C137" s="524" t="s">
        <v>805</v>
      </c>
      <c r="D137" s="525"/>
      <c r="E137" s="526"/>
      <c r="F137" s="335">
        <f>SUM(F138:F140)</f>
        <v>0</v>
      </c>
    </row>
    <row r="138" spans="1:6" s="53" customFormat="1" ht="20.100000000000001" customHeight="1">
      <c r="A138" s="155"/>
      <c r="B138" s="115" t="s">
        <v>884</v>
      </c>
      <c r="C138" s="115" t="s">
        <v>863</v>
      </c>
      <c r="D138" s="115" t="s">
        <v>882</v>
      </c>
      <c r="E138" s="86" t="s">
        <v>807</v>
      </c>
      <c r="F138" s="336"/>
    </row>
    <row r="139" spans="1:6" s="53" customFormat="1" ht="20.100000000000001" customHeight="1">
      <c r="A139" s="155"/>
      <c r="B139" s="115" t="s">
        <v>884</v>
      </c>
      <c r="C139" s="115" t="s">
        <v>863</v>
      </c>
      <c r="D139" s="115" t="s">
        <v>859</v>
      </c>
      <c r="E139" s="86" t="s">
        <v>809</v>
      </c>
      <c r="F139" s="336"/>
    </row>
    <row r="140" spans="1:6" s="53" customFormat="1" ht="20.100000000000001" customHeight="1">
      <c r="A140" s="155"/>
      <c r="B140" s="115" t="s">
        <v>884</v>
      </c>
      <c r="C140" s="115" t="s">
        <v>863</v>
      </c>
      <c r="D140" s="115" t="s">
        <v>860</v>
      </c>
      <c r="E140" s="86" t="s">
        <v>811</v>
      </c>
      <c r="F140" s="336"/>
    </row>
    <row r="141" spans="1:6" s="113" customFormat="1" ht="20.100000000000001" customHeight="1">
      <c r="A141" s="156" t="s">
        <v>884</v>
      </c>
      <c r="B141" s="117" t="s">
        <v>883</v>
      </c>
      <c r="C141" s="524" t="s">
        <v>813</v>
      </c>
      <c r="D141" s="525"/>
      <c r="E141" s="526"/>
      <c r="F141" s="335">
        <f>SUM(F142:F145)</f>
        <v>0</v>
      </c>
    </row>
    <row r="142" spans="1:6" s="53" customFormat="1" ht="20.100000000000001" customHeight="1">
      <c r="A142" s="155"/>
      <c r="B142" s="115" t="s">
        <v>884</v>
      </c>
      <c r="C142" s="115" t="s">
        <v>883</v>
      </c>
      <c r="D142" s="115" t="s">
        <v>882</v>
      </c>
      <c r="E142" s="86" t="s">
        <v>815</v>
      </c>
      <c r="F142" s="336"/>
    </row>
    <row r="143" spans="1:6" s="53" customFormat="1" ht="20.100000000000001" customHeight="1">
      <c r="A143" s="155"/>
      <c r="B143" s="115" t="s">
        <v>884</v>
      </c>
      <c r="C143" s="115" t="s">
        <v>883</v>
      </c>
      <c r="D143" s="115" t="s">
        <v>859</v>
      </c>
      <c r="E143" s="86" t="s">
        <v>881</v>
      </c>
      <c r="F143" s="336"/>
    </row>
    <row r="144" spans="1:6" s="53" customFormat="1" ht="20.100000000000001" customHeight="1">
      <c r="A144" s="155"/>
      <c r="B144" s="115" t="s">
        <v>884</v>
      </c>
      <c r="C144" s="115" t="s">
        <v>883</v>
      </c>
      <c r="D144" s="115" t="s">
        <v>860</v>
      </c>
      <c r="E144" s="86" t="s">
        <v>819</v>
      </c>
      <c r="F144" s="336"/>
    </row>
    <row r="145" spans="1:7" s="53" customFormat="1" ht="20.100000000000001" customHeight="1">
      <c r="A145" s="155"/>
      <c r="B145" s="115" t="s">
        <v>884</v>
      </c>
      <c r="C145" s="115" t="s">
        <v>883</v>
      </c>
      <c r="D145" s="115" t="s">
        <v>885</v>
      </c>
      <c r="E145" s="86" t="s">
        <v>1103</v>
      </c>
      <c r="F145" s="336"/>
    </row>
    <row r="146" spans="1:7" s="113" customFormat="1" ht="20.100000000000001" customHeight="1">
      <c r="A146" s="154" t="s">
        <v>884</v>
      </c>
      <c r="B146" s="117" t="s">
        <v>884</v>
      </c>
      <c r="C146" s="524" t="s">
        <v>823</v>
      </c>
      <c r="D146" s="525"/>
      <c r="E146" s="526"/>
      <c r="F146" s="335">
        <f>SUM(F147)</f>
        <v>0</v>
      </c>
    </row>
    <row r="147" spans="1:7" s="53" customFormat="1" ht="20.100000000000001" customHeight="1">
      <c r="A147" s="155"/>
      <c r="B147" s="115" t="s">
        <v>884</v>
      </c>
      <c r="C147" s="115" t="s">
        <v>884</v>
      </c>
      <c r="D147" s="115" t="s">
        <v>882</v>
      </c>
      <c r="E147" s="86" t="s">
        <v>1104</v>
      </c>
      <c r="F147" s="336"/>
    </row>
    <row r="148" spans="1:7" s="53" customFormat="1" ht="3.75" customHeight="1">
      <c r="A148" s="157"/>
      <c r="B148" s="150"/>
      <c r="C148" s="150"/>
      <c r="D148" s="150"/>
      <c r="E148" s="151"/>
      <c r="F148" s="338"/>
    </row>
    <row r="149" spans="1:7" s="112" customFormat="1" ht="22.5" customHeight="1">
      <c r="A149" s="509" t="s">
        <v>0</v>
      </c>
      <c r="B149" s="510"/>
      <c r="C149" s="510"/>
      <c r="D149" s="510"/>
      <c r="E149" s="511"/>
      <c r="F149" s="337">
        <f>SUM(F5+F44+F90+F133)</f>
        <v>70505677</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zoomScale="110" zoomScaleNormal="110" workbookViewId="0">
      <selection activeCell="C5" sqref="C5"/>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29" t="s">
        <v>1107</v>
      </c>
      <c r="B1" s="529"/>
      <c r="C1" s="529"/>
      <c r="D1" s="529"/>
      <c r="E1" s="529"/>
      <c r="F1" s="529"/>
      <c r="G1" s="529"/>
    </row>
    <row r="2" spans="1:7" ht="15.75">
      <c r="A2" s="534" t="str">
        <f>'ESTIMACIÓN DE INGRESOS'!A2:C2</f>
        <v>Nombre del Municipio: Cabo Corrientes</v>
      </c>
      <c r="B2" s="534"/>
      <c r="C2" s="534"/>
      <c r="D2" s="534"/>
      <c r="E2" s="534"/>
      <c r="F2" s="534"/>
      <c r="G2" s="534"/>
    </row>
    <row r="3" spans="1:7" ht="49.5" customHeight="1">
      <c r="A3" s="530"/>
      <c r="B3" s="531"/>
      <c r="C3" s="395" t="s">
        <v>66</v>
      </c>
      <c r="D3" s="395" t="s">
        <v>1058</v>
      </c>
      <c r="E3" s="395" t="s">
        <v>1071</v>
      </c>
      <c r="F3" s="395" t="s">
        <v>1072</v>
      </c>
      <c r="G3" s="395" t="s">
        <v>1073</v>
      </c>
    </row>
    <row r="4" spans="1:7" ht="6" customHeight="1">
      <c r="A4" s="396"/>
      <c r="B4" s="397"/>
      <c r="C4" s="398"/>
      <c r="D4" s="398"/>
      <c r="E4" s="398"/>
      <c r="F4" s="398"/>
      <c r="G4" s="398"/>
    </row>
    <row r="5" spans="1:7" s="344" customFormat="1" ht="14.45" customHeight="1">
      <c r="A5" s="527" t="s">
        <v>1059</v>
      </c>
      <c r="B5" s="528"/>
      <c r="C5" s="334"/>
      <c r="D5" s="334"/>
      <c r="E5" s="334"/>
      <c r="F5" s="334"/>
      <c r="G5" s="334"/>
    </row>
    <row r="6" spans="1:7" s="344" customFormat="1" ht="30">
      <c r="A6" s="394"/>
      <c r="B6" s="399" t="s">
        <v>1105</v>
      </c>
      <c r="C6" s="400"/>
      <c r="D6" s="401"/>
      <c r="E6" s="400"/>
      <c r="F6" s="400"/>
      <c r="G6" s="400"/>
    </row>
    <row r="7" spans="1:7" s="344" customFormat="1">
      <c r="A7" s="394"/>
      <c r="B7" s="402" t="s">
        <v>1106</v>
      </c>
      <c r="C7" s="403"/>
      <c r="D7" s="404"/>
      <c r="E7" s="403"/>
      <c r="F7" s="403"/>
      <c r="G7" s="403"/>
    </row>
    <row r="8" spans="1:7" s="344" customFormat="1" ht="14.45" customHeight="1">
      <c r="A8" s="527" t="s">
        <v>1074</v>
      </c>
      <c r="B8" s="528"/>
      <c r="C8" s="334"/>
      <c r="D8" s="334"/>
      <c r="E8" s="334"/>
      <c r="F8" s="334"/>
      <c r="G8" s="334"/>
    </row>
    <row r="9" spans="1:7" s="344" customFormat="1">
      <c r="A9" s="394"/>
      <c r="B9" s="393" t="s">
        <v>1060</v>
      </c>
      <c r="C9" s="334"/>
      <c r="D9" s="334"/>
      <c r="E9" s="334"/>
      <c r="F9" s="334"/>
      <c r="G9" s="334"/>
    </row>
    <row r="10" spans="1:7" s="344" customFormat="1">
      <c r="A10" s="394"/>
      <c r="B10" s="402" t="s">
        <v>1127</v>
      </c>
      <c r="C10" s="403"/>
      <c r="D10" s="404"/>
      <c r="E10" s="403"/>
      <c r="F10" s="403"/>
      <c r="G10" s="403"/>
    </row>
    <row r="11" spans="1:7" s="344" customFormat="1">
      <c r="A11" s="394"/>
      <c r="B11" s="402" t="s">
        <v>1126</v>
      </c>
      <c r="C11" s="403"/>
      <c r="D11" s="404"/>
      <c r="E11" s="403"/>
      <c r="F11" s="403"/>
      <c r="G11" s="403"/>
    </row>
    <row r="12" spans="1:7" s="344" customFormat="1">
      <c r="A12" s="394"/>
      <c r="B12" s="402" t="s">
        <v>1125</v>
      </c>
      <c r="C12" s="403"/>
      <c r="D12" s="404"/>
      <c r="E12" s="403"/>
      <c r="F12" s="403"/>
      <c r="G12" s="403"/>
    </row>
    <row r="13" spans="1:7" s="344" customFormat="1">
      <c r="A13" s="394"/>
      <c r="B13" s="393" t="s">
        <v>1061</v>
      </c>
      <c r="C13" s="334"/>
      <c r="D13" s="334"/>
      <c r="E13" s="334"/>
      <c r="F13" s="334"/>
      <c r="G13" s="334"/>
    </row>
    <row r="14" spans="1:7" s="344" customFormat="1">
      <c r="A14" s="394"/>
      <c r="B14" s="402" t="s">
        <v>1127</v>
      </c>
      <c r="C14" s="403"/>
      <c r="D14" s="404"/>
      <c r="E14" s="403"/>
      <c r="F14" s="403"/>
      <c r="G14" s="403"/>
    </row>
    <row r="15" spans="1:7" s="344" customFormat="1">
      <c r="A15" s="394"/>
      <c r="B15" s="402" t="s">
        <v>1126</v>
      </c>
      <c r="C15" s="403"/>
      <c r="D15" s="404"/>
      <c r="E15" s="403"/>
      <c r="F15" s="403"/>
      <c r="G15" s="403"/>
    </row>
    <row r="16" spans="1:7" s="344" customFormat="1">
      <c r="A16" s="394"/>
      <c r="B16" s="402" t="s">
        <v>1125</v>
      </c>
      <c r="C16" s="403"/>
      <c r="D16" s="404"/>
      <c r="E16" s="403"/>
      <c r="F16" s="403"/>
      <c r="G16" s="403"/>
    </row>
    <row r="17" spans="1:7" s="344" customFormat="1">
      <c r="A17" s="394"/>
      <c r="B17" s="393" t="s">
        <v>1062</v>
      </c>
      <c r="C17" s="334"/>
      <c r="D17" s="334"/>
      <c r="E17" s="334"/>
      <c r="F17" s="334"/>
      <c r="G17" s="334"/>
    </row>
    <row r="18" spans="1:7" s="344" customFormat="1">
      <c r="A18" s="394"/>
      <c r="B18" s="405" t="s">
        <v>1124</v>
      </c>
      <c r="C18" s="403"/>
      <c r="D18" s="404"/>
      <c r="E18" s="403"/>
      <c r="F18" s="403"/>
      <c r="G18" s="403"/>
    </row>
    <row r="19" spans="1:7" s="344" customFormat="1" ht="30">
      <c r="A19" s="394"/>
      <c r="B19" s="405" t="s">
        <v>1123</v>
      </c>
      <c r="C19" s="403"/>
      <c r="D19" s="404"/>
      <c r="E19" s="403"/>
      <c r="F19" s="403"/>
      <c r="G19" s="403"/>
    </row>
    <row r="20" spans="1:7" s="344" customFormat="1" ht="30">
      <c r="A20" s="394"/>
      <c r="B20" s="405" t="s">
        <v>1122</v>
      </c>
      <c r="C20" s="403"/>
      <c r="D20" s="404"/>
      <c r="E20" s="403"/>
      <c r="F20" s="403"/>
      <c r="G20" s="403"/>
    </row>
    <row r="21" spans="1:7" s="344" customFormat="1">
      <c r="A21" s="394"/>
      <c r="B21" s="405" t="s">
        <v>1121</v>
      </c>
      <c r="C21" s="403"/>
      <c r="D21" s="404"/>
      <c r="E21" s="403"/>
      <c r="F21" s="403"/>
      <c r="G21" s="403"/>
    </row>
    <row r="22" spans="1:7" s="344" customFormat="1">
      <c r="A22" s="394"/>
      <c r="B22" s="405" t="s">
        <v>1063</v>
      </c>
      <c r="C22" s="403"/>
      <c r="D22" s="404"/>
      <c r="E22" s="403"/>
      <c r="F22" s="403"/>
      <c r="G22" s="403"/>
    </row>
    <row r="23" spans="1:7" s="344" customFormat="1">
      <c r="A23" s="394"/>
      <c r="B23" s="405" t="s">
        <v>1120</v>
      </c>
      <c r="C23" s="403"/>
      <c r="D23" s="404"/>
      <c r="E23" s="403"/>
      <c r="F23" s="403"/>
      <c r="G23" s="403"/>
    </row>
    <row r="24" spans="1:7" s="344" customFormat="1" ht="14.45" customHeight="1">
      <c r="A24" s="527" t="s">
        <v>1075</v>
      </c>
      <c r="B24" s="528"/>
      <c r="C24" s="334"/>
      <c r="D24" s="334"/>
      <c r="E24" s="334"/>
      <c r="F24" s="334"/>
      <c r="G24" s="334"/>
    </row>
    <row r="25" spans="1:7" s="344" customFormat="1">
      <c r="A25" s="406"/>
      <c r="B25" s="402" t="s">
        <v>1064</v>
      </c>
      <c r="C25" s="403"/>
      <c r="D25" s="404"/>
      <c r="E25" s="407"/>
      <c r="F25" s="403"/>
      <c r="G25" s="403"/>
    </row>
    <row r="26" spans="1:7" s="344" customFormat="1" ht="14.45" customHeight="1">
      <c r="A26" s="527" t="s">
        <v>1076</v>
      </c>
      <c r="B26" s="528"/>
      <c r="C26" s="334"/>
      <c r="D26" s="334"/>
      <c r="E26" s="334"/>
      <c r="F26" s="334"/>
      <c r="G26" s="334"/>
    </row>
    <row r="27" spans="1:7" s="344" customFormat="1">
      <c r="A27" s="394"/>
      <c r="B27" s="402" t="s">
        <v>1060</v>
      </c>
      <c r="C27" s="403"/>
      <c r="D27" s="404"/>
      <c r="E27" s="407"/>
      <c r="F27" s="403"/>
      <c r="G27" s="403"/>
    </row>
    <row r="28" spans="1:7" s="344" customFormat="1">
      <c r="A28" s="394"/>
      <c r="B28" s="402" t="s">
        <v>1061</v>
      </c>
      <c r="C28" s="403"/>
      <c r="D28" s="404"/>
      <c r="E28" s="407"/>
      <c r="F28" s="403"/>
      <c r="G28" s="403"/>
    </row>
    <row r="29" spans="1:7" s="344" customFormat="1">
      <c r="A29" s="394"/>
      <c r="B29" s="402" t="s">
        <v>1065</v>
      </c>
      <c r="C29" s="403"/>
      <c r="D29" s="404"/>
      <c r="E29" s="407"/>
      <c r="F29" s="403"/>
      <c r="G29" s="403"/>
    </row>
    <row r="30" spans="1:7" s="344" customFormat="1" ht="14.45" customHeight="1">
      <c r="A30" s="527" t="s">
        <v>1119</v>
      </c>
      <c r="B30" s="528"/>
      <c r="C30" s="334"/>
      <c r="D30" s="334"/>
      <c r="E30" s="334"/>
      <c r="F30" s="334"/>
      <c r="G30" s="334"/>
    </row>
    <row r="31" spans="1:7" s="344" customFormat="1">
      <c r="A31" s="406"/>
      <c r="B31" s="402" t="s">
        <v>1066</v>
      </c>
      <c r="C31" s="403"/>
      <c r="D31" s="404"/>
      <c r="E31" s="407"/>
      <c r="F31" s="403"/>
      <c r="G31" s="403"/>
    </row>
    <row r="32" spans="1:7" s="344" customFormat="1">
      <c r="A32" s="406"/>
      <c r="B32" s="402" t="s">
        <v>1067</v>
      </c>
      <c r="C32" s="403"/>
      <c r="D32" s="404"/>
      <c r="E32" s="407"/>
      <c r="F32" s="403"/>
      <c r="G32" s="403"/>
    </row>
    <row r="33" spans="1:7" s="344" customFormat="1">
      <c r="A33" s="408"/>
      <c r="B33" s="402" t="s">
        <v>1068</v>
      </c>
      <c r="C33" s="403"/>
      <c r="D33" s="404"/>
      <c r="E33" s="407"/>
      <c r="F33" s="403"/>
      <c r="G33" s="403"/>
    </row>
    <row r="34" spans="1:7" s="344" customFormat="1" ht="14.45" customHeight="1">
      <c r="A34" s="527" t="s">
        <v>1118</v>
      </c>
      <c r="B34" s="528"/>
      <c r="C34" s="334"/>
      <c r="D34" s="334"/>
      <c r="E34" s="334"/>
      <c r="F34" s="334"/>
      <c r="G34" s="334"/>
    </row>
    <row r="35" spans="1:7" s="344" customFormat="1" ht="14.45" customHeight="1">
      <c r="A35" s="527" t="s">
        <v>1117</v>
      </c>
      <c r="B35" s="528"/>
      <c r="C35" s="334"/>
      <c r="D35" s="334"/>
      <c r="E35" s="334"/>
      <c r="F35" s="334"/>
      <c r="G35" s="334"/>
    </row>
    <row r="36" spans="1:7" s="344" customFormat="1">
      <c r="A36" s="394"/>
      <c r="B36" s="402" t="s">
        <v>1116</v>
      </c>
      <c r="C36" s="403"/>
      <c r="D36" s="404"/>
      <c r="E36" s="407"/>
      <c r="F36" s="403"/>
      <c r="G36" s="403"/>
    </row>
    <row r="37" spans="1:7" s="344" customFormat="1">
      <c r="A37" s="394"/>
      <c r="B37" s="402" t="s">
        <v>1069</v>
      </c>
      <c r="C37" s="403"/>
      <c r="D37" s="404"/>
      <c r="E37" s="407"/>
      <c r="F37" s="403"/>
      <c r="G37" s="403"/>
    </row>
    <row r="38" spans="1:7" s="344" customFormat="1">
      <c r="A38" s="394"/>
      <c r="B38" s="402" t="s">
        <v>1070</v>
      </c>
      <c r="C38" s="403"/>
      <c r="D38" s="404"/>
      <c r="E38" s="407"/>
      <c r="F38" s="403"/>
      <c r="G38" s="403"/>
    </row>
    <row r="39" spans="1:7" s="344" customFormat="1" ht="30.75" customHeight="1">
      <c r="A39" s="532" t="s">
        <v>1115</v>
      </c>
      <c r="B39" s="533"/>
      <c r="C39" s="334"/>
      <c r="D39" s="334"/>
      <c r="E39" s="334"/>
      <c r="F39" s="334"/>
      <c r="G39" s="334"/>
    </row>
    <row r="40" spans="1:7" s="344" customFormat="1">
      <c r="A40" s="394"/>
      <c r="B40" s="402" t="s">
        <v>1114</v>
      </c>
      <c r="C40" s="403"/>
      <c r="D40" s="404"/>
      <c r="E40" s="407"/>
      <c r="F40" s="403"/>
      <c r="G40" s="403"/>
    </row>
    <row r="41" spans="1:7" s="344" customFormat="1">
      <c r="A41" s="394"/>
      <c r="B41" s="402" t="s">
        <v>1112</v>
      </c>
      <c r="C41" s="403"/>
      <c r="D41" s="404"/>
      <c r="E41" s="407"/>
      <c r="F41" s="403"/>
      <c r="G41" s="403"/>
    </row>
    <row r="42" spans="1:7" s="344" customFormat="1">
      <c r="A42" s="406"/>
      <c r="B42" s="402" t="s">
        <v>1024</v>
      </c>
      <c r="C42" s="403"/>
      <c r="D42" s="404"/>
      <c r="E42" s="407"/>
      <c r="F42" s="403"/>
      <c r="G42" s="403"/>
    </row>
    <row r="43" spans="1:7" s="344" customFormat="1" ht="14.45" customHeight="1">
      <c r="A43" s="527" t="s">
        <v>1077</v>
      </c>
      <c r="B43" s="528"/>
      <c r="C43" s="334"/>
      <c r="D43" s="334"/>
      <c r="E43" s="334"/>
      <c r="F43" s="334"/>
      <c r="G43" s="334"/>
    </row>
    <row r="44" spans="1:7" s="344" customFormat="1">
      <c r="A44" s="394"/>
      <c r="B44" s="402" t="s">
        <v>1114</v>
      </c>
      <c r="C44" s="403"/>
      <c r="D44" s="404"/>
      <c r="E44" s="407"/>
      <c r="F44" s="403"/>
      <c r="G44" s="403"/>
    </row>
    <row r="45" spans="1:7" s="344" customFormat="1">
      <c r="A45" s="394"/>
      <c r="B45" s="402" t="s">
        <v>1112</v>
      </c>
      <c r="C45" s="403"/>
      <c r="D45" s="404"/>
      <c r="E45" s="407"/>
      <c r="F45" s="403"/>
      <c r="G45" s="403"/>
    </row>
    <row r="46" spans="1:7" s="344" customFormat="1" ht="14.45" customHeight="1">
      <c r="A46" s="527" t="s">
        <v>1113</v>
      </c>
      <c r="B46" s="528"/>
      <c r="C46" s="334"/>
      <c r="D46" s="334"/>
      <c r="E46" s="334"/>
      <c r="F46" s="334"/>
      <c r="G46" s="334"/>
    </row>
    <row r="47" spans="1:7" s="344" customFormat="1">
      <c r="A47" s="394"/>
      <c r="B47" s="402" t="s">
        <v>1111</v>
      </c>
      <c r="C47" s="403"/>
      <c r="D47" s="404"/>
      <c r="E47" s="407"/>
      <c r="F47" s="403"/>
      <c r="G47" s="403"/>
    </row>
    <row r="48" spans="1:7" s="344" customFormat="1">
      <c r="A48" s="394"/>
      <c r="B48" s="402" t="s">
        <v>1110</v>
      </c>
      <c r="C48" s="403"/>
      <c r="D48" s="404"/>
      <c r="E48" s="407"/>
      <c r="F48" s="403"/>
      <c r="G48" s="403"/>
    </row>
    <row r="49" spans="1:7" s="344" customFormat="1" ht="14.45" customHeight="1">
      <c r="A49" s="527" t="s">
        <v>1078</v>
      </c>
      <c r="B49" s="528"/>
      <c r="C49" s="334"/>
      <c r="D49" s="334"/>
      <c r="E49" s="334"/>
      <c r="F49" s="334"/>
      <c r="G49" s="334"/>
    </row>
    <row r="50" spans="1:7" s="344" customFormat="1">
      <c r="A50" s="394"/>
      <c r="B50" s="402" t="s">
        <v>1108</v>
      </c>
      <c r="C50" s="403"/>
      <c r="D50" s="404"/>
      <c r="E50" s="407"/>
      <c r="F50" s="403"/>
      <c r="G50" s="403"/>
    </row>
    <row r="51" spans="1:7" s="344" customFormat="1">
      <c r="A51" s="408"/>
      <c r="B51" s="402" t="s">
        <v>1109</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200"/>
  <sheetViews>
    <sheetView showGridLines="0" zoomScale="90" zoomScaleNormal="90" workbookViewId="0">
      <selection activeCell="AK25" sqref="AK25:AP25"/>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35" t="s">
        <v>904</v>
      </c>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c r="BW1" s="536"/>
      <c r="BX1" s="536"/>
      <c r="BY1" s="536"/>
      <c r="BZ1" s="536"/>
      <c r="CA1" s="536"/>
      <c r="CB1" s="536"/>
      <c r="CC1" s="536"/>
      <c r="CD1" s="536"/>
      <c r="CE1" s="536"/>
      <c r="CF1" s="536"/>
      <c r="CG1" s="536"/>
      <c r="CH1" s="536"/>
      <c r="CI1" s="536"/>
      <c r="CJ1" s="536"/>
      <c r="CK1" s="536"/>
      <c r="CL1" s="536"/>
      <c r="CM1" s="536"/>
      <c r="CN1" s="536"/>
      <c r="CO1" s="536"/>
      <c r="CP1" s="536"/>
      <c r="CQ1" s="536"/>
      <c r="CR1" s="536"/>
      <c r="CS1" s="536"/>
      <c r="CT1" s="536"/>
      <c r="CU1" s="536"/>
      <c r="CV1" s="536"/>
      <c r="CW1" s="536"/>
      <c r="CX1" s="536"/>
      <c r="CY1" s="536"/>
      <c r="CZ1" s="536"/>
      <c r="DA1" s="536"/>
      <c r="DB1" s="536"/>
      <c r="DC1" s="536"/>
      <c r="DD1" s="536"/>
      <c r="DE1" s="537"/>
    </row>
    <row r="2" spans="1:125" ht="17.25" customHeight="1">
      <c r="A2" s="538" t="str">
        <f>'[1]ESTIMACIÓN DE INGRESOS'!A2:C2</f>
        <v>Nombre del Municipio: Cabo Corrientes</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539"/>
      <c r="AV2" s="539"/>
      <c r="AW2" s="539"/>
      <c r="AX2" s="539"/>
      <c r="AY2" s="539"/>
      <c r="AZ2" s="539"/>
      <c r="BA2" s="539"/>
      <c r="BB2" s="539"/>
      <c r="BC2" s="539"/>
      <c r="BD2" s="539"/>
      <c r="BE2" s="539"/>
      <c r="BF2" s="539"/>
      <c r="BG2" s="539"/>
      <c r="BH2" s="539"/>
      <c r="BI2" s="539"/>
      <c r="BJ2" s="539"/>
      <c r="BK2" s="539"/>
      <c r="BL2" s="539"/>
      <c r="BM2" s="539"/>
      <c r="BN2" s="539"/>
      <c r="BO2" s="539"/>
      <c r="BP2" s="539"/>
      <c r="BQ2" s="539"/>
      <c r="BR2" s="539"/>
      <c r="BS2" s="539"/>
      <c r="BT2" s="539"/>
      <c r="BU2" s="539"/>
      <c r="BV2" s="539"/>
      <c r="BW2" s="539"/>
      <c r="BX2" s="539"/>
      <c r="BY2" s="539"/>
      <c r="BZ2" s="539"/>
      <c r="CA2" s="539"/>
      <c r="CB2" s="539"/>
      <c r="CC2" s="539"/>
      <c r="CD2" s="539"/>
      <c r="CE2" s="539"/>
      <c r="CF2" s="539"/>
      <c r="CG2" s="539"/>
      <c r="CH2" s="539"/>
      <c r="CI2" s="539"/>
      <c r="CJ2" s="539"/>
      <c r="CK2" s="539"/>
      <c r="CL2" s="539"/>
      <c r="CM2" s="539"/>
      <c r="CN2" s="539"/>
      <c r="CO2" s="539"/>
      <c r="CP2" s="539"/>
      <c r="CQ2" s="539"/>
      <c r="CR2" s="539"/>
      <c r="CS2" s="539"/>
      <c r="CT2" s="539"/>
      <c r="CU2" s="539"/>
      <c r="CV2" s="539"/>
      <c r="CW2" s="539"/>
      <c r="CX2" s="539"/>
      <c r="CY2" s="539"/>
      <c r="CZ2" s="539"/>
      <c r="DA2" s="539"/>
      <c r="DB2" s="539"/>
      <c r="DC2" s="539"/>
      <c r="DD2" s="539"/>
      <c r="DE2" s="540"/>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41" t="s">
        <v>564</v>
      </c>
      <c r="B4" s="542"/>
      <c r="C4" s="542"/>
      <c r="D4" s="542"/>
      <c r="E4" s="542"/>
      <c r="F4" s="542"/>
      <c r="G4" s="542"/>
      <c r="H4" s="542"/>
      <c r="I4" s="542"/>
      <c r="J4" s="542"/>
      <c r="K4" s="542"/>
      <c r="L4" s="542"/>
      <c r="M4" s="542"/>
      <c r="N4" s="542"/>
      <c r="O4" s="542"/>
      <c r="P4" s="542" t="s">
        <v>565</v>
      </c>
      <c r="Q4" s="542"/>
      <c r="R4" s="542"/>
      <c r="S4" s="542"/>
      <c r="T4" s="542"/>
      <c r="U4" s="542"/>
      <c r="V4" s="542"/>
      <c r="W4" s="542"/>
      <c r="X4" s="542"/>
      <c r="Y4" s="542"/>
      <c r="Z4" s="542"/>
      <c r="AA4" s="542"/>
      <c r="AB4" s="542"/>
      <c r="AC4" s="542"/>
      <c r="AD4" s="542" t="s">
        <v>30</v>
      </c>
      <c r="AE4" s="542"/>
      <c r="AF4" s="542"/>
      <c r="AG4" s="543" t="s">
        <v>569</v>
      </c>
      <c r="AH4" s="543"/>
      <c r="AI4" s="543"/>
      <c r="AJ4" s="544"/>
      <c r="AK4" s="545" t="s">
        <v>568</v>
      </c>
      <c r="AL4" s="546"/>
      <c r="AM4" s="546"/>
      <c r="AN4" s="546"/>
      <c r="AO4" s="546"/>
      <c r="AP4" s="546"/>
      <c r="AQ4" s="546"/>
      <c r="AR4" s="546"/>
      <c r="AS4" s="546"/>
      <c r="AT4" s="546"/>
      <c r="AU4" s="546"/>
      <c r="AV4" s="546"/>
      <c r="AW4" s="546"/>
      <c r="AX4" s="547"/>
      <c r="AY4" s="545">
        <v>131</v>
      </c>
      <c r="AZ4" s="546"/>
      <c r="BA4" s="546"/>
      <c r="BB4" s="546"/>
      <c r="BC4" s="546"/>
      <c r="BD4" s="546"/>
      <c r="BE4" s="546"/>
      <c r="BF4" s="547"/>
      <c r="BG4" s="545">
        <v>132</v>
      </c>
      <c r="BH4" s="546"/>
      <c r="BI4" s="546"/>
      <c r="BJ4" s="546"/>
      <c r="BK4" s="546"/>
      <c r="BL4" s="546"/>
      <c r="BM4" s="546"/>
      <c r="BN4" s="547"/>
      <c r="BO4" s="545">
        <v>132</v>
      </c>
      <c r="BP4" s="546"/>
      <c r="BQ4" s="546"/>
      <c r="BR4" s="546"/>
      <c r="BS4" s="546"/>
      <c r="BT4" s="546"/>
      <c r="BU4" s="546"/>
      <c r="BV4" s="547"/>
      <c r="BW4" s="545">
        <v>133</v>
      </c>
      <c r="BX4" s="546"/>
      <c r="BY4" s="546"/>
      <c r="BZ4" s="546"/>
      <c r="CA4" s="546"/>
      <c r="CB4" s="546"/>
      <c r="CC4" s="546"/>
      <c r="CD4" s="547"/>
      <c r="CE4" s="545">
        <v>134</v>
      </c>
      <c r="CF4" s="546"/>
      <c r="CG4" s="546"/>
      <c r="CH4" s="546"/>
      <c r="CI4" s="546"/>
      <c r="CJ4" s="546"/>
      <c r="CK4" s="546"/>
      <c r="CL4" s="546"/>
      <c r="CM4" s="547"/>
      <c r="CN4" s="561" t="s">
        <v>1130</v>
      </c>
      <c r="CO4" s="562"/>
      <c r="CP4" s="562"/>
      <c r="CQ4" s="562"/>
      <c r="CR4" s="562"/>
      <c r="CS4" s="562"/>
      <c r="CT4" s="562"/>
      <c r="CU4" s="563"/>
      <c r="CV4" s="561" t="s">
        <v>844</v>
      </c>
      <c r="CW4" s="562"/>
      <c r="CX4" s="562"/>
      <c r="CY4" s="562"/>
      <c r="CZ4" s="562"/>
      <c r="DA4" s="562"/>
      <c r="DB4" s="562"/>
      <c r="DC4" s="562"/>
      <c r="DD4" s="562"/>
      <c r="DE4" s="570"/>
    </row>
    <row r="5" spans="1:125" ht="12.75" customHeight="1">
      <c r="A5" s="541"/>
      <c r="B5" s="542"/>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3"/>
      <c r="AH5" s="543"/>
      <c r="AI5" s="543"/>
      <c r="AJ5" s="544"/>
      <c r="AK5" s="573" t="s">
        <v>566</v>
      </c>
      <c r="AL5" s="574"/>
      <c r="AM5" s="574"/>
      <c r="AN5" s="574"/>
      <c r="AO5" s="574"/>
      <c r="AP5" s="574"/>
      <c r="AQ5" s="574"/>
      <c r="AR5" s="574"/>
      <c r="AS5" s="574"/>
      <c r="AT5" s="574"/>
      <c r="AU5" s="574"/>
      <c r="AV5" s="574"/>
      <c r="AW5" s="574"/>
      <c r="AX5" s="575"/>
      <c r="AY5" s="564" t="s">
        <v>570</v>
      </c>
      <c r="AZ5" s="565"/>
      <c r="BA5" s="565"/>
      <c r="BB5" s="565"/>
      <c r="BC5" s="565"/>
      <c r="BD5" s="565"/>
      <c r="BE5" s="565"/>
      <c r="BF5" s="566"/>
      <c r="BG5" s="564" t="s">
        <v>845</v>
      </c>
      <c r="BH5" s="565"/>
      <c r="BI5" s="565"/>
      <c r="BJ5" s="565"/>
      <c r="BK5" s="565"/>
      <c r="BL5" s="565"/>
      <c r="BM5" s="565"/>
      <c r="BN5" s="566"/>
      <c r="BO5" s="564" t="s">
        <v>847</v>
      </c>
      <c r="BP5" s="565"/>
      <c r="BQ5" s="565"/>
      <c r="BR5" s="565"/>
      <c r="BS5" s="565"/>
      <c r="BT5" s="565"/>
      <c r="BU5" s="565"/>
      <c r="BV5" s="566"/>
      <c r="BW5" s="564" t="s">
        <v>843</v>
      </c>
      <c r="BX5" s="576"/>
      <c r="BY5" s="576"/>
      <c r="BZ5" s="576"/>
      <c r="CA5" s="576"/>
      <c r="CB5" s="576"/>
      <c r="CC5" s="576"/>
      <c r="CD5" s="577"/>
      <c r="CE5" s="578" t="s">
        <v>156</v>
      </c>
      <c r="CF5" s="576"/>
      <c r="CG5" s="576"/>
      <c r="CH5" s="576"/>
      <c r="CI5" s="576"/>
      <c r="CJ5" s="576"/>
      <c r="CK5" s="576"/>
      <c r="CL5" s="576"/>
      <c r="CM5" s="577"/>
      <c r="CN5" s="564"/>
      <c r="CO5" s="565"/>
      <c r="CP5" s="565"/>
      <c r="CQ5" s="565"/>
      <c r="CR5" s="565"/>
      <c r="CS5" s="565"/>
      <c r="CT5" s="565"/>
      <c r="CU5" s="566"/>
      <c r="CV5" s="564"/>
      <c r="CW5" s="565"/>
      <c r="CX5" s="565"/>
      <c r="CY5" s="565"/>
      <c r="CZ5" s="565"/>
      <c r="DA5" s="565"/>
      <c r="DB5" s="565"/>
      <c r="DC5" s="565"/>
      <c r="DD5" s="565"/>
      <c r="DE5" s="571"/>
    </row>
    <row r="6" spans="1:125" ht="44.25" customHeight="1">
      <c r="A6" s="541"/>
      <c r="B6" s="542"/>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3"/>
      <c r="AH6" s="543"/>
      <c r="AI6" s="543"/>
      <c r="AJ6" s="543"/>
      <c r="AK6" s="548" t="s">
        <v>567</v>
      </c>
      <c r="AL6" s="548"/>
      <c r="AM6" s="548"/>
      <c r="AN6" s="548"/>
      <c r="AO6" s="548"/>
      <c r="AP6" s="548"/>
      <c r="AQ6" s="548" t="s">
        <v>4</v>
      </c>
      <c r="AR6" s="548"/>
      <c r="AS6" s="548"/>
      <c r="AT6" s="548"/>
      <c r="AU6" s="548"/>
      <c r="AV6" s="548"/>
      <c r="AW6" s="548"/>
      <c r="AX6" s="548"/>
      <c r="AY6" s="549" t="s">
        <v>846</v>
      </c>
      <c r="AZ6" s="550"/>
      <c r="BA6" s="550"/>
      <c r="BB6" s="550"/>
      <c r="BC6" s="550"/>
      <c r="BD6" s="550"/>
      <c r="BE6" s="550"/>
      <c r="BF6" s="551"/>
      <c r="BG6" s="567"/>
      <c r="BH6" s="568"/>
      <c r="BI6" s="568"/>
      <c r="BJ6" s="568"/>
      <c r="BK6" s="568"/>
      <c r="BL6" s="568"/>
      <c r="BM6" s="568"/>
      <c r="BN6" s="569"/>
      <c r="BO6" s="567"/>
      <c r="BP6" s="568"/>
      <c r="BQ6" s="568"/>
      <c r="BR6" s="568"/>
      <c r="BS6" s="568"/>
      <c r="BT6" s="568"/>
      <c r="BU6" s="568"/>
      <c r="BV6" s="569"/>
      <c r="BW6" s="573"/>
      <c r="BX6" s="574"/>
      <c r="BY6" s="574"/>
      <c r="BZ6" s="574"/>
      <c r="CA6" s="574"/>
      <c r="CB6" s="574"/>
      <c r="CC6" s="574"/>
      <c r="CD6" s="575"/>
      <c r="CE6" s="573"/>
      <c r="CF6" s="574"/>
      <c r="CG6" s="574"/>
      <c r="CH6" s="574"/>
      <c r="CI6" s="574"/>
      <c r="CJ6" s="574"/>
      <c r="CK6" s="574"/>
      <c r="CL6" s="574"/>
      <c r="CM6" s="575"/>
      <c r="CN6" s="567"/>
      <c r="CO6" s="568"/>
      <c r="CP6" s="568"/>
      <c r="CQ6" s="568"/>
      <c r="CR6" s="568"/>
      <c r="CS6" s="568"/>
      <c r="CT6" s="568"/>
      <c r="CU6" s="569"/>
      <c r="CV6" s="567"/>
      <c r="CW6" s="568"/>
      <c r="CX6" s="568"/>
      <c r="CY6" s="568"/>
      <c r="CZ6" s="568"/>
      <c r="DA6" s="568"/>
      <c r="DB6" s="568"/>
      <c r="DC6" s="568"/>
      <c r="DD6" s="568"/>
      <c r="DE6" s="572"/>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52"/>
      <c r="AL7" s="552"/>
      <c r="AM7" s="552"/>
      <c r="AN7" s="552"/>
      <c r="AO7" s="552"/>
      <c r="AP7" s="552"/>
      <c r="AQ7" s="553"/>
      <c r="AR7" s="553"/>
      <c r="AS7" s="553"/>
      <c r="AT7" s="553"/>
      <c r="AU7" s="553"/>
      <c r="AV7" s="553"/>
      <c r="AW7" s="553"/>
      <c r="AX7" s="553"/>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54" t="s">
        <v>1141</v>
      </c>
      <c r="B8" s="555"/>
      <c r="C8" s="555"/>
      <c r="D8" s="555"/>
      <c r="E8" s="555"/>
      <c r="F8" s="555"/>
      <c r="G8" s="555"/>
      <c r="H8" s="555"/>
      <c r="I8" s="555"/>
      <c r="J8" s="555"/>
      <c r="K8" s="555"/>
      <c r="L8" s="555"/>
      <c r="M8" s="555"/>
      <c r="N8" s="555"/>
      <c r="O8" s="556"/>
      <c r="P8" s="557" t="s">
        <v>1142</v>
      </c>
      <c r="Q8" s="557"/>
      <c r="R8" s="557"/>
      <c r="S8" s="557"/>
      <c r="T8" s="557"/>
      <c r="U8" s="557"/>
      <c r="V8" s="557"/>
      <c r="W8" s="557"/>
      <c r="X8" s="557"/>
      <c r="Y8" s="557"/>
      <c r="Z8" s="557"/>
      <c r="AA8" s="557"/>
      <c r="AB8" s="557"/>
      <c r="AC8" s="557"/>
      <c r="AD8" s="558"/>
      <c r="AE8" s="558"/>
      <c r="AF8" s="558"/>
      <c r="AG8" s="559">
        <v>9</v>
      </c>
      <c r="AH8" s="559"/>
      <c r="AI8" s="559"/>
      <c r="AJ8" s="559"/>
      <c r="AK8" s="560">
        <f>708.01*30.41</f>
        <v>21530.5841</v>
      </c>
      <c r="AL8" s="560"/>
      <c r="AM8" s="560"/>
      <c r="AN8" s="560"/>
      <c r="AO8" s="560"/>
      <c r="AP8" s="560"/>
      <c r="AQ8" s="583">
        <f>AG8*AK8*12</f>
        <v>2325303.0828</v>
      </c>
      <c r="AR8" s="583"/>
      <c r="AS8" s="583"/>
      <c r="AT8" s="583"/>
      <c r="AU8" s="583"/>
      <c r="AV8" s="583"/>
      <c r="AW8" s="583"/>
      <c r="AX8" s="583"/>
      <c r="AY8" s="582"/>
      <c r="AZ8" s="582"/>
      <c r="BA8" s="582"/>
      <c r="BB8" s="582"/>
      <c r="BC8" s="582"/>
      <c r="BD8" s="582"/>
      <c r="BE8" s="582"/>
      <c r="BF8" s="582"/>
      <c r="BG8" s="582">
        <f>(708.01*10)*9</f>
        <v>63720.9</v>
      </c>
      <c r="BH8" s="582"/>
      <c r="BI8" s="582"/>
      <c r="BJ8" s="582"/>
      <c r="BK8" s="582"/>
      <c r="BL8" s="582"/>
      <c r="BM8" s="582"/>
      <c r="BN8" s="582"/>
      <c r="BO8" s="583">
        <f>AQ8/365*50</f>
        <v>318534.66887671233</v>
      </c>
      <c r="BP8" s="583"/>
      <c r="BQ8" s="583"/>
      <c r="BR8" s="583"/>
      <c r="BS8" s="583"/>
      <c r="BT8" s="583"/>
      <c r="BU8" s="583"/>
      <c r="BV8" s="583"/>
      <c r="BW8" s="582"/>
      <c r="BX8" s="582"/>
      <c r="BY8" s="582"/>
      <c r="BZ8" s="582"/>
      <c r="CA8" s="582"/>
      <c r="CB8" s="582"/>
      <c r="CC8" s="582"/>
      <c r="CD8" s="582"/>
      <c r="CE8" s="582"/>
      <c r="CF8" s="582"/>
      <c r="CG8" s="582"/>
      <c r="CH8" s="582"/>
      <c r="CI8" s="582"/>
      <c r="CJ8" s="582"/>
      <c r="CK8" s="582"/>
      <c r="CL8" s="582"/>
      <c r="CM8" s="582"/>
      <c r="CN8" s="582"/>
      <c r="CO8" s="582"/>
      <c r="CP8" s="582"/>
      <c r="CQ8" s="582"/>
      <c r="CR8" s="582"/>
      <c r="CS8" s="582"/>
      <c r="CT8" s="582"/>
      <c r="CU8" s="582"/>
      <c r="CV8" s="583">
        <f>SUM(AQ8:CU8)</f>
        <v>2707558.6516767121</v>
      </c>
      <c r="CW8" s="583"/>
      <c r="CX8" s="583"/>
      <c r="CY8" s="583"/>
      <c r="CZ8" s="583"/>
      <c r="DA8" s="583"/>
      <c r="DB8" s="583"/>
      <c r="DC8" s="583"/>
      <c r="DD8" s="583"/>
      <c r="DE8" s="584"/>
    </row>
    <row r="9" spans="1:125" s="2" customFormat="1" ht="23.25" customHeight="1">
      <c r="A9" s="554" t="s">
        <v>1143</v>
      </c>
      <c r="B9" s="555"/>
      <c r="C9" s="555"/>
      <c r="D9" s="555"/>
      <c r="E9" s="555"/>
      <c r="F9" s="555"/>
      <c r="G9" s="555"/>
      <c r="H9" s="555"/>
      <c r="I9" s="555"/>
      <c r="J9" s="555"/>
      <c r="K9" s="555"/>
      <c r="L9" s="555"/>
      <c r="M9" s="555"/>
      <c r="N9" s="555"/>
      <c r="O9" s="556"/>
      <c r="P9" s="557" t="s">
        <v>1142</v>
      </c>
      <c r="Q9" s="557"/>
      <c r="R9" s="557"/>
      <c r="S9" s="557"/>
      <c r="T9" s="557"/>
      <c r="U9" s="557"/>
      <c r="V9" s="557"/>
      <c r="W9" s="557"/>
      <c r="X9" s="557"/>
      <c r="Y9" s="557"/>
      <c r="Z9" s="557"/>
      <c r="AA9" s="557"/>
      <c r="AB9" s="557"/>
      <c r="AC9" s="557"/>
      <c r="AD9" s="558"/>
      <c r="AE9" s="558"/>
      <c r="AF9" s="558"/>
      <c r="AG9" s="559">
        <v>1</v>
      </c>
      <c r="AH9" s="559"/>
      <c r="AI9" s="559"/>
      <c r="AJ9" s="559"/>
      <c r="AK9" s="585">
        <f>250.29*30.41</f>
        <v>7611.3189000000002</v>
      </c>
      <c r="AL9" s="586"/>
      <c r="AM9" s="586"/>
      <c r="AN9" s="586"/>
      <c r="AO9" s="586"/>
      <c r="AP9" s="587"/>
      <c r="AQ9" s="583">
        <f>AG9*AK9*12</f>
        <v>91335.82680000001</v>
      </c>
      <c r="AR9" s="583"/>
      <c r="AS9" s="583"/>
      <c r="AT9" s="583"/>
      <c r="AU9" s="583"/>
      <c r="AV9" s="583"/>
      <c r="AW9" s="583"/>
      <c r="AX9" s="583"/>
      <c r="AY9" s="588"/>
      <c r="AZ9" s="589"/>
      <c r="BA9" s="589"/>
      <c r="BB9" s="589"/>
      <c r="BC9" s="589"/>
      <c r="BD9" s="589"/>
      <c r="BE9" s="589"/>
      <c r="BF9" s="590"/>
      <c r="BG9" s="582">
        <f>250.29*10</f>
        <v>2502.9</v>
      </c>
      <c r="BH9" s="582"/>
      <c r="BI9" s="582"/>
      <c r="BJ9" s="582"/>
      <c r="BK9" s="582"/>
      <c r="BL9" s="582"/>
      <c r="BM9" s="582"/>
      <c r="BN9" s="582"/>
      <c r="BO9" s="579">
        <f t="shared" ref="BO9:BO72" si="0">AQ9/365*50</f>
        <v>12511.757095890413</v>
      </c>
      <c r="BP9" s="580"/>
      <c r="BQ9" s="580"/>
      <c r="BR9" s="580"/>
      <c r="BS9" s="580"/>
      <c r="BT9" s="580"/>
      <c r="BU9" s="580"/>
      <c r="BV9" s="581"/>
      <c r="BW9" s="582"/>
      <c r="BX9" s="582"/>
      <c r="BY9" s="582"/>
      <c r="BZ9" s="582"/>
      <c r="CA9" s="582"/>
      <c r="CB9" s="582"/>
      <c r="CC9" s="582"/>
      <c r="CD9" s="582"/>
      <c r="CE9" s="582"/>
      <c r="CF9" s="582"/>
      <c r="CG9" s="582"/>
      <c r="CH9" s="582"/>
      <c r="CI9" s="582"/>
      <c r="CJ9" s="582"/>
      <c r="CK9" s="582"/>
      <c r="CL9" s="582"/>
      <c r="CM9" s="582"/>
      <c r="CN9" s="582">
        <f>400*24*AG9</f>
        <v>9600</v>
      </c>
      <c r="CO9" s="582"/>
      <c r="CP9" s="582"/>
      <c r="CQ9" s="582"/>
      <c r="CR9" s="582"/>
      <c r="CS9" s="582"/>
      <c r="CT9" s="582"/>
      <c r="CU9" s="582"/>
      <c r="CV9" s="583">
        <f t="shared" ref="CV9:CV72" si="1">SUM(AQ9:CU9)</f>
        <v>115950.48389589041</v>
      </c>
      <c r="CW9" s="583"/>
      <c r="CX9" s="583"/>
      <c r="CY9" s="583"/>
      <c r="CZ9" s="583"/>
      <c r="DA9" s="583"/>
      <c r="DB9" s="583"/>
      <c r="DC9" s="583"/>
      <c r="DD9" s="583"/>
      <c r="DE9" s="584"/>
      <c r="DU9" s="46"/>
    </row>
    <row r="10" spans="1:125" s="2" customFormat="1" ht="23.25" customHeight="1">
      <c r="A10" s="554" t="s">
        <v>1144</v>
      </c>
      <c r="B10" s="555"/>
      <c r="C10" s="555"/>
      <c r="D10" s="555"/>
      <c r="E10" s="555"/>
      <c r="F10" s="555"/>
      <c r="G10" s="555"/>
      <c r="H10" s="555"/>
      <c r="I10" s="555"/>
      <c r="J10" s="555"/>
      <c r="K10" s="555"/>
      <c r="L10" s="555"/>
      <c r="M10" s="555"/>
      <c r="N10" s="555"/>
      <c r="O10" s="556"/>
      <c r="P10" s="557" t="s">
        <v>1145</v>
      </c>
      <c r="Q10" s="557"/>
      <c r="R10" s="557"/>
      <c r="S10" s="557"/>
      <c r="T10" s="557"/>
      <c r="U10" s="557"/>
      <c r="V10" s="557"/>
      <c r="W10" s="557"/>
      <c r="X10" s="557"/>
      <c r="Y10" s="557"/>
      <c r="Z10" s="557"/>
      <c r="AA10" s="557"/>
      <c r="AB10" s="557"/>
      <c r="AC10" s="557"/>
      <c r="AD10" s="558"/>
      <c r="AE10" s="558"/>
      <c r="AF10" s="558"/>
      <c r="AG10" s="559">
        <v>1</v>
      </c>
      <c r="AH10" s="559"/>
      <c r="AI10" s="559"/>
      <c r="AJ10" s="559"/>
      <c r="AK10" s="585">
        <f>1551.67*30.41</f>
        <v>47186.284700000004</v>
      </c>
      <c r="AL10" s="586"/>
      <c r="AM10" s="586"/>
      <c r="AN10" s="586"/>
      <c r="AO10" s="586"/>
      <c r="AP10" s="587"/>
      <c r="AQ10" s="583">
        <f t="shared" ref="AQ10:AQ73" si="2">AG10*AK10*12</f>
        <v>566235.41639999999</v>
      </c>
      <c r="AR10" s="583"/>
      <c r="AS10" s="583"/>
      <c r="AT10" s="583"/>
      <c r="AU10" s="583"/>
      <c r="AV10" s="583"/>
      <c r="AW10" s="583"/>
      <c r="AX10" s="583"/>
      <c r="AY10" s="588"/>
      <c r="AZ10" s="589"/>
      <c r="BA10" s="589"/>
      <c r="BB10" s="589"/>
      <c r="BC10" s="589"/>
      <c r="BD10" s="589"/>
      <c r="BE10" s="589"/>
      <c r="BF10" s="590"/>
      <c r="BG10" s="582">
        <f>1551.67*10</f>
        <v>15516.7</v>
      </c>
      <c r="BH10" s="582"/>
      <c r="BI10" s="582"/>
      <c r="BJ10" s="582"/>
      <c r="BK10" s="582"/>
      <c r="BL10" s="582"/>
      <c r="BM10" s="582"/>
      <c r="BN10" s="582"/>
      <c r="BO10" s="579">
        <f t="shared" si="0"/>
        <v>77566.495397260267</v>
      </c>
      <c r="BP10" s="580"/>
      <c r="BQ10" s="580"/>
      <c r="BR10" s="580"/>
      <c r="BS10" s="580"/>
      <c r="BT10" s="580"/>
      <c r="BU10" s="580"/>
      <c r="BV10" s="581"/>
      <c r="BW10" s="582"/>
      <c r="BX10" s="582"/>
      <c r="BY10" s="582"/>
      <c r="BZ10" s="582"/>
      <c r="CA10" s="582"/>
      <c r="CB10" s="582"/>
      <c r="CC10" s="582"/>
      <c r="CD10" s="582"/>
      <c r="CE10" s="582"/>
      <c r="CF10" s="582"/>
      <c r="CG10" s="582"/>
      <c r="CH10" s="582"/>
      <c r="CI10" s="582"/>
      <c r="CJ10" s="582"/>
      <c r="CK10" s="582"/>
      <c r="CL10" s="582"/>
      <c r="CM10" s="582"/>
      <c r="CN10" s="582"/>
      <c r="CO10" s="582"/>
      <c r="CP10" s="582"/>
      <c r="CQ10" s="582"/>
      <c r="CR10" s="582"/>
      <c r="CS10" s="582"/>
      <c r="CT10" s="582"/>
      <c r="CU10" s="582"/>
      <c r="CV10" s="583">
        <f t="shared" si="1"/>
        <v>659318.61179726024</v>
      </c>
      <c r="CW10" s="583"/>
      <c r="CX10" s="583"/>
      <c r="CY10" s="583"/>
      <c r="CZ10" s="583"/>
      <c r="DA10" s="583"/>
      <c r="DB10" s="583"/>
      <c r="DC10" s="583"/>
      <c r="DD10" s="583"/>
      <c r="DE10" s="584"/>
      <c r="DU10" s="46"/>
    </row>
    <row r="11" spans="1:125" s="2" customFormat="1" ht="23.25" customHeight="1">
      <c r="A11" s="554" t="s">
        <v>1146</v>
      </c>
      <c r="B11" s="555"/>
      <c r="C11" s="555"/>
      <c r="D11" s="555"/>
      <c r="E11" s="555"/>
      <c r="F11" s="555"/>
      <c r="G11" s="555"/>
      <c r="H11" s="555"/>
      <c r="I11" s="555"/>
      <c r="J11" s="555"/>
      <c r="K11" s="555"/>
      <c r="L11" s="555"/>
      <c r="M11" s="555"/>
      <c r="N11" s="555"/>
      <c r="O11" s="556"/>
      <c r="P11" s="557" t="s">
        <v>1145</v>
      </c>
      <c r="Q11" s="557"/>
      <c r="R11" s="557"/>
      <c r="S11" s="557"/>
      <c r="T11" s="557"/>
      <c r="U11" s="557"/>
      <c r="V11" s="557"/>
      <c r="W11" s="557"/>
      <c r="X11" s="557"/>
      <c r="Y11" s="557"/>
      <c r="Z11" s="557"/>
      <c r="AA11" s="557"/>
      <c r="AB11" s="557"/>
      <c r="AC11" s="557"/>
      <c r="AD11" s="558"/>
      <c r="AE11" s="558"/>
      <c r="AF11" s="558"/>
      <c r="AG11" s="559">
        <v>1</v>
      </c>
      <c r="AH11" s="559"/>
      <c r="AI11" s="559"/>
      <c r="AJ11" s="559"/>
      <c r="AK11" s="585">
        <f>509.53*30.41</f>
        <v>15494.807299999999</v>
      </c>
      <c r="AL11" s="586"/>
      <c r="AM11" s="586"/>
      <c r="AN11" s="586"/>
      <c r="AO11" s="586"/>
      <c r="AP11" s="587"/>
      <c r="AQ11" s="583">
        <f t="shared" si="2"/>
        <v>185937.68759999998</v>
      </c>
      <c r="AR11" s="583"/>
      <c r="AS11" s="583"/>
      <c r="AT11" s="583"/>
      <c r="AU11" s="583"/>
      <c r="AV11" s="583"/>
      <c r="AW11" s="583"/>
      <c r="AX11" s="583"/>
      <c r="AY11" s="591"/>
      <c r="AZ11" s="592"/>
      <c r="BA11" s="592"/>
      <c r="BB11" s="592"/>
      <c r="BC11" s="592"/>
      <c r="BD11" s="592"/>
      <c r="BE11" s="592"/>
      <c r="BF11" s="593"/>
      <c r="BG11" s="582">
        <f>509.53*10</f>
        <v>5095.2999999999993</v>
      </c>
      <c r="BH11" s="582"/>
      <c r="BI11" s="582"/>
      <c r="BJ11" s="582"/>
      <c r="BK11" s="582"/>
      <c r="BL11" s="582"/>
      <c r="BM11" s="582"/>
      <c r="BN11" s="582"/>
      <c r="BO11" s="579">
        <f t="shared" si="0"/>
        <v>25470.916109589038</v>
      </c>
      <c r="BP11" s="580"/>
      <c r="BQ11" s="580"/>
      <c r="BR11" s="580"/>
      <c r="BS11" s="580"/>
      <c r="BT11" s="580"/>
      <c r="BU11" s="580"/>
      <c r="BV11" s="581"/>
      <c r="BW11" s="582"/>
      <c r="BX11" s="582"/>
      <c r="BY11" s="582"/>
      <c r="BZ11" s="582"/>
      <c r="CA11" s="582"/>
      <c r="CB11" s="582"/>
      <c r="CC11" s="582"/>
      <c r="CD11" s="582"/>
      <c r="CE11" s="582"/>
      <c r="CF11" s="582"/>
      <c r="CG11" s="582"/>
      <c r="CH11" s="582"/>
      <c r="CI11" s="582"/>
      <c r="CJ11" s="582"/>
      <c r="CK11" s="582"/>
      <c r="CL11" s="582"/>
      <c r="CM11" s="582"/>
      <c r="CN11" s="582"/>
      <c r="CO11" s="582"/>
      <c r="CP11" s="582"/>
      <c r="CQ11" s="582"/>
      <c r="CR11" s="582"/>
      <c r="CS11" s="582"/>
      <c r="CT11" s="582"/>
      <c r="CU11" s="582"/>
      <c r="CV11" s="583">
        <f t="shared" si="1"/>
        <v>216503.90370958901</v>
      </c>
      <c r="CW11" s="583"/>
      <c r="CX11" s="583"/>
      <c r="CY11" s="583"/>
      <c r="CZ11" s="583"/>
      <c r="DA11" s="583"/>
      <c r="DB11" s="583"/>
      <c r="DC11" s="583"/>
      <c r="DD11" s="583"/>
      <c r="DE11" s="584"/>
      <c r="DU11" s="47"/>
    </row>
    <row r="12" spans="1:125" s="2" customFormat="1" ht="23.25" customHeight="1">
      <c r="A12" s="554" t="s">
        <v>1147</v>
      </c>
      <c r="B12" s="555"/>
      <c r="C12" s="555"/>
      <c r="D12" s="555"/>
      <c r="E12" s="555"/>
      <c r="F12" s="555"/>
      <c r="G12" s="555"/>
      <c r="H12" s="555"/>
      <c r="I12" s="555"/>
      <c r="J12" s="555"/>
      <c r="K12" s="555"/>
      <c r="L12" s="555"/>
      <c r="M12" s="555"/>
      <c r="N12" s="555"/>
      <c r="O12" s="556"/>
      <c r="P12" s="557" t="s">
        <v>1145</v>
      </c>
      <c r="Q12" s="557"/>
      <c r="R12" s="557"/>
      <c r="S12" s="557"/>
      <c r="T12" s="557"/>
      <c r="U12" s="557"/>
      <c r="V12" s="557"/>
      <c r="W12" s="557"/>
      <c r="X12" s="557"/>
      <c r="Y12" s="557"/>
      <c r="Z12" s="557"/>
      <c r="AA12" s="557"/>
      <c r="AB12" s="557"/>
      <c r="AC12" s="557"/>
      <c r="AD12" s="558"/>
      <c r="AE12" s="558"/>
      <c r="AF12" s="558"/>
      <c r="AG12" s="559">
        <v>1</v>
      </c>
      <c r="AH12" s="559"/>
      <c r="AI12" s="559"/>
      <c r="AJ12" s="559"/>
      <c r="AK12" s="585">
        <f>509.53*30.41</f>
        <v>15494.807299999999</v>
      </c>
      <c r="AL12" s="586"/>
      <c r="AM12" s="586"/>
      <c r="AN12" s="586"/>
      <c r="AO12" s="586"/>
      <c r="AP12" s="587"/>
      <c r="AQ12" s="583">
        <f>AG12*AK12*12</f>
        <v>185937.68759999998</v>
      </c>
      <c r="AR12" s="583"/>
      <c r="AS12" s="583"/>
      <c r="AT12" s="583"/>
      <c r="AU12" s="583"/>
      <c r="AV12" s="583"/>
      <c r="AW12" s="583"/>
      <c r="AX12" s="583"/>
      <c r="AY12" s="594"/>
      <c r="AZ12" s="595"/>
      <c r="BA12" s="595"/>
      <c r="BB12" s="595"/>
      <c r="BC12" s="595"/>
      <c r="BD12" s="595"/>
      <c r="BE12" s="595"/>
      <c r="BF12" s="596"/>
      <c r="BG12" s="582">
        <f>510.53*10</f>
        <v>5105.2999999999993</v>
      </c>
      <c r="BH12" s="582"/>
      <c r="BI12" s="582"/>
      <c r="BJ12" s="582"/>
      <c r="BK12" s="582"/>
      <c r="BL12" s="582"/>
      <c r="BM12" s="582"/>
      <c r="BN12" s="582"/>
      <c r="BO12" s="579">
        <f>AQ12/365*50</f>
        <v>25470.916109589038</v>
      </c>
      <c r="BP12" s="580"/>
      <c r="BQ12" s="580"/>
      <c r="BR12" s="580"/>
      <c r="BS12" s="580"/>
      <c r="BT12" s="580"/>
      <c r="BU12" s="580"/>
      <c r="BV12" s="581"/>
      <c r="BW12" s="582"/>
      <c r="BX12" s="582"/>
      <c r="BY12" s="582"/>
      <c r="BZ12" s="582"/>
      <c r="CA12" s="582"/>
      <c r="CB12" s="582"/>
      <c r="CC12" s="582"/>
      <c r="CD12" s="582"/>
      <c r="CE12" s="582"/>
      <c r="CF12" s="582"/>
      <c r="CG12" s="582"/>
      <c r="CH12" s="582"/>
      <c r="CI12" s="582"/>
      <c r="CJ12" s="582"/>
      <c r="CK12" s="582"/>
      <c r="CL12" s="582"/>
      <c r="CM12" s="582"/>
      <c r="CN12" s="582"/>
      <c r="CO12" s="582"/>
      <c r="CP12" s="582"/>
      <c r="CQ12" s="582"/>
      <c r="CR12" s="582"/>
      <c r="CS12" s="582"/>
      <c r="CT12" s="582"/>
      <c r="CU12" s="582"/>
      <c r="CV12" s="583">
        <f>SUM(AQ12:CU12)</f>
        <v>216513.90370958901</v>
      </c>
      <c r="CW12" s="583"/>
      <c r="CX12" s="583"/>
      <c r="CY12" s="583"/>
      <c r="CZ12" s="583"/>
      <c r="DA12" s="583"/>
      <c r="DB12" s="583"/>
      <c r="DC12" s="583"/>
      <c r="DD12" s="583"/>
      <c r="DE12" s="584"/>
    </row>
    <row r="13" spans="1:125" s="2" customFormat="1" ht="23.25" customHeight="1">
      <c r="A13" s="554" t="s">
        <v>1148</v>
      </c>
      <c r="B13" s="555"/>
      <c r="C13" s="555"/>
      <c r="D13" s="555"/>
      <c r="E13" s="555"/>
      <c r="F13" s="555"/>
      <c r="G13" s="555"/>
      <c r="H13" s="555"/>
      <c r="I13" s="555"/>
      <c r="J13" s="555"/>
      <c r="K13" s="555"/>
      <c r="L13" s="555"/>
      <c r="M13" s="555"/>
      <c r="N13" s="555"/>
      <c r="O13" s="556"/>
      <c r="P13" s="557" t="s">
        <v>1145</v>
      </c>
      <c r="Q13" s="557"/>
      <c r="R13" s="557"/>
      <c r="S13" s="557"/>
      <c r="T13" s="557"/>
      <c r="U13" s="557"/>
      <c r="V13" s="557"/>
      <c r="W13" s="557"/>
      <c r="X13" s="557"/>
      <c r="Y13" s="557"/>
      <c r="Z13" s="557"/>
      <c r="AA13" s="557"/>
      <c r="AB13" s="557"/>
      <c r="AC13" s="557"/>
      <c r="AD13" s="558"/>
      <c r="AE13" s="558"/>
      <c r="AF13" s="558"/>
      <c r="AG13" s="559">
        <v>1</v>
      </c>
      <c r="AH13" s="559"/>
      <c r="AI13" s="559"/>
      <c r="AJ13" s="559"/>
      <c r="AK13" s="585">
        <f>296.54*30.41</f>
        <v>9017.7813999999998</v>
      </c>
      <c r="AL13" s="586"/>
      <c r="AM13" s="586"/>
      <c r="AN13" s="586"/>
      <c r="AO13" s="586"/>
      <c r="AP13" s="587"/>
      <c r="AQ13" s="583">
        <f t="shared" si="2"/>
        <v>108213.3768</v>
      </c>
      <c r="AR13" s="583"/>
      <c r="AS13" s="583"/>
      <c r="AT13" s="583"/>
      <c r="AU13" s="583"/>
      <c r="AV13" s="583"/>
      <c r="AW13" s="583"/>
      <c r="AX13" s="583"/>
      <c r="AY13" s="594"/>
      <c r="AZ13" s="595"/>
      <c r="BA13" s="595"/>
      <c r="BB13" s="595"/>
      <c r="BC13" s="595"/>
      <c r="BD13" s="595"/>
      <c r="BE13" s="595"/>
      <c r="BF13" s="596"/>
      <c r="BG13" s="582">
        <f>296.54*10</f>
        <v>2965.4</v>
      </c>
      <c r="BH13" s="582"/>
      <c r="BI13" s="582"/>
      <c r="BJ13" s="582"/>
      <c r="BK13" s="582"/>
      <c r="BL13" s="582"/>
      <c r="BM13" s="582"/>
      <c r="BN13" s="582"/>
      <c r="BO13" s="579">
        <f t="shared" si="0"/>
        <v>14823.75024657534</v>
      </c>
      <c r="BP13" s="580"/>
      <c r="BQ13" s="580"/>
      <c r="BR13" s="580"/>
      <c r="BS13" s="580"/>
      <c r="BT13" s="580"/>
      <c r="BU13" s="580"/>
      <c r="BV13" s="581"/>
      <c r="BW13" s="582"/>
      <c r="BX13" s="582"/>
      <c r="BY13" s="582"/>
      <c r="BZ13" s="582"/>
      <c r="CA13" s="582"/>
      <c r="CB13" s="582"/>
      <c r="CC13" s="582"/>
      <c r="CD13" s="582"/>
      <c r="CE13" s="582"/>
      <c r="CF13" s="582"/>
      <c r="CG13" s="582"/>
      <c r="CH13" s="582"/>
      <c r="CI13" s="582"/>
      <c r="CJ13" s="582"/>
      <c r="CK13" s="582"/>
      <c r="CL13" s="582"/>
      <c r="CM13" s="582"/>
      <c r="CN13" s="582">
        <f>400*24*AG13</f>
        <v>9600</v>
      </c>
      <c r="CO13" s="582"/>
      <c r="CP13" s="582"/>
      <c r="CQ13" s="582"/>
      <c r="CR13" s="582"/>
      <c r="CS13" s="582"/>
      <c r="CT13" s="582"/>
      <c r="CU13" s="582"/>
      <c r="CV13" s="583">
        <f t="shared" si="1"/>
        <v>135602.52704657533</v>
      </c>
      <c r="CW13" s="583"/>
      <c r="CX13" s="583"/>
      <c r="CY13" s="583"/>
      <c r="CZ13" s="583"/>
      <c r="DA13" s="583"/>
      <c r="DB13" s="583"/>
      <c r="DC13" s="583"/>
      <c r="DD13" s="583"/>
      <c r="DE13" s="584"/>
    </row>
    <row r="14" spans="1:125" s="2" customFormat="1" ht="23.25" customHeight="1">
      <c r="A14" s="554" t="s">
        <v>1143</v>
      </c>
      <c r="B14" s="555"/>
      <c r="C14" s="555"/>
      <c r="D14" s="555"/>
      <c r="E14" s="555"/>
      <c r="F14" s="555"/>
      <c r="G14" s="555"/>
      <c r="H14" s="555"/>
      <c r="I14" s="555"/>
      <c r="J14" s="555"/>
      <c r="K14" s="555"/>
      <c r="L14" s="555"/>
      <c r="M14" s="555"/>
      <c r="N14" s="555"/>
      <c r="O14" s="556"/>
      <c r="P14" s="557" t="s">
        <v>1145</v>
      </c>
      <c r="Q14" s="557"/>
      <c r="R14" s="557"/>
      <c r="S14" s="557"/>
      <c r="T14" s="557"/>
      <c r="U14" s="557"/>
      <c r="V14" s="557"/>
      <c r="W14" s="557"/>
      <c r="X14" s="557"/>
      <c r="Y14" s="557"/>
      <c r="Z14" s="557"/>
      <c r="AA14" s="557"/>
      <c r="AB14" s="557"/>
      <c r="AC14" s="557"/>
      <c r="AD14" s="558"/>
      <c r="AE14" s="558"/>
      <c r="AF14" s="558"/>
      <c r="AG14" s="559">
        <v>1</v>
      </c>
      <c r="AH14" s="559"/>
      <c r="AI14" s="559"/>
      <c r="AJ14" s="559"/>
      <c r="AK14" s="585">
        <f>250.29*30.41</f>
        <v>7611.3189000000002</v>
      </c>
      <c r="AL14" s="586"/>
      <c r="AM14" s="586"/>
      <c r="AN14" s="586"/>
      <c r="AO14" s="586"/>
      <c r="AP14" s="587"/>
      <c r="AQ14" s="583">
        <f t="shared" si="2"/>
        <v>91335.82680000001</v>
      </c>
      <c r="AR14" s="583"/>
      <c r="AS14" s="583"/>
      <c r="AT14" s="583"/>
      <c r="AU14" s="583"/>
      <c r="AV14" s="583"/>
      <c r="AW14" s="583"/>
      <c r="AX14" s="583"/>
      <c r="AY14" s="588"/>
      <c r="AZ14" s="589"/>
      <c r="BA14" s="589"/>
      <c r="BB14" s="589"/>
      <c r="BC14" s="589"/>
      <c r="BD14" s="589"/>
      <c r="BE14" s="589"/>
      <c r="BF14" s="590"/>
      <c r="BG14" s="582">
        <f>250.29*10</f>
        <v>2502.9</v>
      </c>
      <c r="BH14" s="582"/>
      <c r="BI14" s="582"/>
      <c r="BJ14" s="582"/>
      <c r="BK14" s="582"/>
      <c r="BL14" s="582"/>
      <c r="BM14" s="582"/>
      <c r="BN14" s="582"/>
      <c r="BO14" s="579">
        <f t="shared" si="0"/>
        <v>12511.757095890413</v>
      </c>
      <c r="BP14" s="580"/>
      <c r="BQ14" s="580"/>
      <c r="BR14" s="580"/>
      <c r="BS14" s="580"/>
      <c r="BT14" s="580"/>
      <c r="BU14" s="580"/>
      <c r="BV14" s="581"/>
      <c r="BW14" s="582"/>
      <c r="BX14" s="582"/>
      <c r="BY14" s="582"/>
      <c r="BZ14" s="582"/>
      <c r="CA14" s="582"/>
      <c r="CB14" s="582"/>
      <c r="CC14" s="582"/>
      <c r="CD14" s="582"/>
      <c r="CE14" s="582"/>
      <c r="CF14" s="582"/>
      <c r="CG14" s="582"/>
      <c r="CH14" s="582"/>
      <c r="CI14" s="582"/>
      <c r="CJ14" s="582"/>
      <c r="CK14" s="582"/>
      <c r="CL14" s="582"/>
      <c r="CM14" s="582"/>
      <c r="CN14" s="582">
        <f t="shared" ref="CN14:CN16" si="3">400*24*AG14</f>
        <v>9600</v>
      </c>
      <c r="CO14" s="582"/>
      <c r="CP14" s="582"/>
      <c r="CQ14" s="582"/>
      <c r="CR14" s="582"/>
      <c r="CS14" s="582"/>
      <c r="CT14" s="582"/>
      <c r="CU14" s="582"/>
      <c r="CV14" s="583">
        <f t="shared" si="1"/>
        <v>115950.48389589041</v>
      </c>
      <c r="CW14" s="583"/>
      <c r="CX14" s="583"/>
      <c r="CY14" s="583"/>
      <c r="CZ14" s="583"/>
      <c r="DA14" s="583"/>
      <c r="DB14" s="583"/>
      <c r="DC14" s="583"/>
      <c r="DD14" s="583"/>
      <c r="DE14" s="584"/>
    </row>
    <row r="15" spans="1:125" s="2" customFormat="1" ht="23.25" customHeight="1">
      <c r="A15" s="554" t="s">
        <v>1149</v>
      </c>
      <c r="B15" s="555"/>
      <c r="C15" s="555"/>
      <c r="D15" s="555"/>
      <c r="E15" s="555"/>
      <c r="F15" s="555"/>
      <c r="G15" s="555"/>
      <c r="H15" s="555"/>
      <c r="I15" s="555"/>
      <c r="J15" s="555"/>
      <c r="K15" s="555"/>
      <c r="L15" s="555"/>
      <c r="M15" s="555"/>
      <c r="N15" s="555"/>
      <c r="O15" s="556"/>
      <c r="P15" s="557" t="s">
        <v>1145</v>
      </c>
      <c r="Q15" s="557"/>
      <c r="R15" s="557"/>
      <c r="S15" s="557"/>
      <c r="T15" s="557"/>
      <c r="U15" s="557"/>
      <c r="V15" s="557"/>
      <c r="W15" s="557"/>
      <c r="X15" s="557"/>
      <c r="Y15" s="557"/>
      <c r="Z15" s="557"/>
      <c r="AA15" s="557"/>
      <c r="AB15" s="557"/>
      <c r="AC15" s="557"/>
      <c r="AD15" s="558"/>
      <c r="AE15" s="558"/>
      <c r="AF15" s="558"/>
      <c r="AG15" s="559">
        <v>1</v>
      </c>
      <c r="AH15" s="559"/>
      <c r="AI15" s="559"/>
      <c r="AJ15" s="559"/>
      <c r="AK15" s="585">
        <f>296.54*30.41</f>
        <v>9017.7813999999998</v>
      </c>
      <c r="AL15" s="586"/>
      <c r="AM15" s="586"/>
      <c r="AN15" s="586"/>
      <c r="AO15" s="586"/>
      <c r="AP15" s="587"/>
      <c r="AQ15" s="583">
        <f t="shared" si="2"/>
        <v>108213.3768</v>
      </c>
      <c r="AR15" s="583"/>
      <c r="AS15" s="583"/>
      <c r="AT15" s="583"/>
      <c r="AU15" s="583"/>
      <c r="AV15" s="583"/>
      <c r="AW15" s="583"/>
      <c r="AX15" s="583"/>
      <c r="AY15" s="588"/>
      <c r="AZ15" s="589"/>
      <c r="BA15" s="589"/>
      <c r="BB15" s="589"/>
      <c r="BC15" s="589"/>
      <c r="BD15" s="589"/>
      <c r="BE15" s="589"/>
      <c r="BF15" s="590"/>
      <c r="BG15" s="582">
        <f>296.54*10</f>
        <v>2965.4</v>
      </c>
      <c r="BH15" s="582"/>
      <c r="BI15" s="582"/>
      <c r="BJ15" s="582"/>
      <c r="BK15" s="582"/>
      <c r="BL15" s="582"/>
      <c r="BM15" s="582"/>
      <c r="BN15" s="582"/>
      <c r="BO15" s="579">
        <f t="shared" si="0"/>
        <v>14823.75024657534</v>
      </c>
      <c r="BP15" s="580"/>
      <c r="BQ15" s="580"/>
      <c r="BR15" s="580"/>
      <c r="BS15" s="580"/>
      <c r="BT15" s="580"/>
      <c r="BU15" s="580"/>
      <c r="BV15" s="581"/>
      <c r="BW15" s="582"/>
      <c r="BX15" s="582"/>
      <c r="BY15" s="582"/>
      <c r="BZ15" s="582"/>
      <c r="CA15" s="582"/>
      <c r="CB15" s="582"/>
      <c r="CC15" s="582"/>
      <c r="CD15" s="582"/>
      <c r="CE15" s="582"/>
      <c r="CF15" s="582"/>
      <c r="CG15" s="582"/>
      <c r="CH15" s="582"/>
      <c r="CI15" s="582"/>
      <c r="CJ15" s="582"/>
      <c r="CK15" s="582"/>
      <c r="CL15" s="582"/>
      <c r="CM15" s="582"/>
      <c r="CN15" s="582">
        <f t="shared" si="3"/>
        <v>9600</v>
      </c>
      <c r="CO15" s="582"/>
      <c r="CP15" s="582"/>
      <c r="CQ15" s="582"/>
      <c r="CR15" s="582"/>
      <c r="CS15" s="582"/>
      <c r="CT15" s="582"/>
      <c r="CU15" s="582"/>
      <c r="CV15" s="583">
        <f t="shared" si="1"/>
        <v>135602.52704657533</v>
      </c>
      <c r="CW15" s="583"/>
      <c r="CX15" s="583"/>
      <c r="CY15" s="583"/>
      <c r="CZ15" s="583"/>
      <c r="DA15" s="583"/>
      <c r="DB15" s="583"/>
      <c r="DC15" s="583"/>
      <c r="DD15" s="583"/>
      <c r="DE15" s="584"/>
    </row>
    <row r="16" spans="1:125" s="2" customFormat="1" ht="23.25" customHeight="1">
      <c r="A16" s="554" t="s">
        <v>1150</v>
      </c>
      <c r="B16" s="555"/>
      <c r="C16" s="555"/>
      <c r="D16" s="555"/>
      <c r="E16" s="555"/>
      <c r="F16" s="555"/>
      <c r="G16" s="555"/>
      <c r="H16" s="555"/>
      <c r="I16" s="555"/>
      <c r="J16" s="555"/>
      <c r="K16" s="555"/>
      <c r="L16" s="555"/>
      <c r="M16" s="555"/>
      <c r="N16" s="555"/>
      <c r="O16" s="556"/>
      <c r="P16" s="557" t="s">
        <v>1145</v>
      </c>
      <c r="Q16" s="557"/>
      <c r="R16" s="557"/>
      <c r="S16" s="557"/>
      <c r="T16" s="557"/>
      <c r="U16" s="557"/>
      <c r="V16" s="557"/>
      <c r="W16" s="557"/>
      <c r="X16" s="557"/>
      <c r="Y16" s="557"/>
      <c r="Z16" s="557"/>
      <c r="AA16" s="557"/>
      <c r="AB16" s="557"/>
      <c r="AC16" s="557"/>
      <c r="AD16" s="558"/>
      <c r="AE16" s="558"/>
      <c r="AF16" s="558"/>
      <c r="AG16" s="559">
        <v>1</v>
      </c>
      <c r="AH16" s="559"/>
      <c r="AI16" s="559"/>
      <c r="AJ16" s="559"/>
      <c r="AK16" s="585">
        <f>296.54*30.41</f>
        <v>9017.7813999999998</v>
      </c>
      <c r="AL16" s="586"/>
      <c r="AM16" s="586"/>
      <c r="AN16" s="586"/>
      <c r="AO16" s="586"/>
      <c r="AP16" s="587"/>
      <c r="AQ16" s="583">
        <f>AG16*AK16*12</f>
        <v>108213.3768</v>
      </c>
      <c r="AR16" s="583"/>
      <c r="AS16" s="583"/>
      <c r="AT16" s="583"/>
      <c r="AU16" s="583"/>
      <c r="AV16" s="583"/>
      <c r="AW16" s="583"/>
      <c r="AX16" s="583"/>
      <c r="AY16" s="588"/>
      <c r="AZ16" s="589"/>
      <c r="BA16" s="589"/>
      <c r="BB16" s="589"/>
      <c r="BC16" s="589"/>
      <c r="BD16" s="589"/>
      <c r="BE16" s="589"/>
      <c r="BF16" s="590"/>
      <c r="BG16" s="582">
        <f>296.54*10</f>
        <v>2965.4</v>
      </c>
      <c r="BH16" s="582"/>
      <c r="BI16" s="582"/>
      <c r="BJ16" s="582"/>
      <c r="BK16" s="582"/>
      <c r="BL16" s="582"/>
      <c r="BM16" s="582"/>
      <c r="BN16" s="582"/>
      <c r="BO16" s="579">
        <f t="shared" si="0"/>
        <v>14823.75024657534</v>
      </c>
      <c r="BP16" s="580"/>
      <c r="BQ16" s="580"/>
      <c r="BR16" s="580"/>
      <c r="BS16" s="580"/>
      <c r="BT16" s="580"/>
      <c r="BU16" s="580"/>
      <c r="BV16" s="581"/>
      <c r="BW16" s="582"/>
      <c r="BX16" s="582"/>
      <c r="BY16" s="582"/>
      <c r="BZ16" s="582"/>
      <c r="CA16" s="582"/>
      <c r="CB16" s="582"/>
      <c r="CC16" s="582"/>
      <c r="CD16" s="582"/>
      <c r="CE16" s="582"/>
      <c r="CF16" s="582"/>
      <c r="CG16" s="582"/>
      <c r="CH16" s="582"/>
      <c r="CI16" s="582"/>
      <c r="CJ16" s="582"/>
      <c r="CK16" s="582"/>
      <c r="CL16" s="582"/>
      <c r="CM16" s="582"/>
      <c r="CN16" s="582">
        <f t="shared" si="3"/>
        <v>9600</v>
      </c>
      <c r="CO16" s="582"/>
      <c r="CP16" s="582"/>
      <c r="CQ16" s="582"/>
      <c r="CR16" s="582"/>
      <c r="CS16" s="582"/>
      <c r="CT16" s="582"/>
      <c r="CU16" s="582"/>
      <c r="CV16" s="583">
        <f>SUM(AQ16:CU16)</f>
        <v>135602.52704657533</v>
      </c>
      <c r="CW16" s="583"/>
      <c r="CX16" s="583"/>
      <c r="CY16" s="583"/>
      <c r="CZ16" s="583"/>
      <c r="DA16" s="583"/>
      <c r="DB16" s="583"/>
      <c r="DC16" s="583"/>
      <c r="DD16" s="583"/>
      <c r="DE16" s="584"/>
    </row>
    <row r="17" spans="1:125" s="2" customFormat="1" ht="23.25" customHeight="1">
      <c r="A17" s="597" t="s">
        <v>1151</v>
      </c>
      <c r="B17" s="598"/>
      <c r="C17" s="598"/>
      <c r="D17" s="598"/>
      <c r="E17" s="598"/>
      <c r="F17" s="598"/>
      <c r="G17" s="598"/>
      <c r="H17" s="598"/>
      <c r="I17" s="598"/>
      <c r="J17" s="598"/>
      <c r="K17" s="598"/>
      <c r="L17" s="598"/>
      <c r="M17" s="598"/>
      <c r="N17" s="598"/>
      <c r="O17" s="598"/>
      <c r="P17" s="599" t="s">
        <v>1152</v>
      </c>
      <c r="Q17" s="599"/>
      <c r="R17" s="599"/>
      <c r="S17" s="599"/>
      <c r="T17" s="599"/>
      <c r="U17" s="599"/>
      <c r="V17" s="599"/>
      <c r="W17" s="599"/>
      <c r="X17" s="599"/>
      <c r="Y17" s="599"/>
      <c r="Z17" s="599"/>
      <c r="AA17" s="599"/>
      <c r="AB17" s="599"/>
      <c r="AC17" s="599"/>
      <c r="AD17" s="558"/>
      <c r="AE17" s="558"/>
      <c r="AF17" s="558"/>
      <c r="AG17" s="559">
        <v>1</v>
      </c>
      <c r="AH17" s="559"/>
      <c r="AI17" s="559"/>
      <c r="AJ17" s="559"/>
      <c r="AK17" s="585">
        <f>824.36*30.41</f>
        <v>25068.7876</v>
      </c>
      <c r="AL17" s="586"/>
      <c r="AM17" s="586"/>
      <c r="AN17" s="586"/>
      <c r="AO17" s="586"/>
      <c r="AP17" s="587"/>
      <c r="AQ17" s="583">
        <f>AG17*AK17*12</f>
        <v>300825.45120000001</v>
      </c>
      <c r="AR17" s="583"/>
      <c r="AS17" s="583"/>
      <c r="AT17" s="583"/>
      <c r="AU17" s="583"/>
      <c r="AV17" s="583"/>
      <c r="AW17" s="583"/>
      <c r="AX17" s="583"/>
      <c r="AY17" s="588"/>
      <c r="AZ17" s="589"/>
      <c r="BA17" s="589"/>
      <c r="BB17" s="589"/>
      <c r="BC17" s="589"/>
      <c r="BD17" s="589"/>
      <c r="BE17" s="589"/>
      <c r="BF17" s="590"/>
      <c r="BG17" s="582">
        <f>821.36*10</f>
        <v>8213.6</v>
      </c>
      <c r="BH17" s="582"/>
      <c r="BI17" s="582"/>
      <c r="BJ17" s="582"/>
      <c r="BK17" s="582"/>
      <c r="BL17" s="582"/>
      <c r="BM17" s="582"/>
      <c r="BN17" s="582"/>
      <c r="BO17" s="579">
        <f t="shared" si="0"/>
        <v>41208.965917808222</v>
      </c>
      <c r="BP17" s="580"/>
      <c r="BQ17" s="580"/>
      <c r="BR17" s="580"/>
      <c r="BS17" s="580"/>
      <c r="BT17" s="580"/>
      <c r="BU17" s="580"/>
      <c r="BV17" s="581"/>
      <c r="BW17" s="582"/>
      <c r="BX17" s="582"/>
      <c r="BY17" s="582"/>
      <c r="BZ17" s="582"/>
      <c r="CA17" s="582"/>
      <c r="CB17" s="582"/>
      <c r="CC17" s="582"/>
      <c r="CD17" s="582"/>
      <c r="CE17" s="582"/>
      <c r="CF17" s="582"/>
      <c r="CG17" s="582"/>
      <c r="CH17" s="582"/>
      <c r="CI17" s="582"/>
      <c r="CJ17" s="582"/>
      <c r="CK17" s="582"/>
      <c r="CL17" s="582"/>
      <c r="CM17" s="582"/>
      <c r="CN17" s="582"/>
      <c r="CO17" s="582"/>
      <c r="CP17" s="582"/>
      <c r="CQ17" s="582"/>
      <c r="CR17" s="582"/>
      <c r="CS17" s="582"/>
      <c r="CT17" s="582"/>
      <c r="CU17" s="582"/>
      <c r="CV17" s="583">
        <f>SUM(AQ17:CU17)</f>
        <v>350248.01711780822</v>
      </c>
      <c r="CW17" s="583"/>
      <c r="CX17" s="583"/>
      <c r="CY17" s="583"/>
      <c r="CZ17" s="583"/>
      <c r="DA17" s="583"/>
      <c r="DB17" s="583"/>
      <c r="DC17" s="583"/>
      <c r="DD17" s="583"/>
      <c r="DE17" s="584"/>
    </row>
    <row r="18" spans="1:125" s="2" customFormat="1" ht="23.25" customHeight="1">
      <c r="A18" s="597" t="s">
        <v>1153</v>
      </c>
      <c r="B18" s="598"/>
      <c r="C18" s="598"/>
      <c r="D18" s="598"/>
      <c r="E18" s="598"/>
      <c r="F18" s="598"/>
      <c r="G18" s="598"/>
      <c r="H18" s="598"/>
      <c r="I18" s="598"/>
      <c r="J18" s="598"/>
      <c r="K18" s="598"/>
      <c r="L18" s="598"/>
      <c r="M18" s="598"/>
      <c r="N18" s="598"/>
      <c r="O18" s="598"/>
      <c r="P18" s="599" t="s">
        <v>1152</v>
      </c>
      <c r="Q18" s="599"/>
      <c r="R18" s="599"/>
      <c r="S18" s="599"/>
      <c r="T18" s="599"/>
      <c r="U18" s="599"/>
      <c r="V18" s="599"/>
      <c r="W18" s="599"/>
      <c r="X18" s="599"/>
      <c r="Y18" s="599"/>
      <c r="Z18" s="599"/>
      <c r="AA18" s="599"/>
      <c r="AB18" s="599"/>
      <c r="AC18" s="599"/>
      <c r="AD18" s="558"/>
      <c r="AE18" s="558"/>
      <c r="AF18" s="558"/>
      <c r="AG18" s="559">
        <v>1</v>
      </c>
      <c r="AH18" s="559"/>
      <c r="AI18" s="559"/>
      <c r="AJ18" s="559"/>
      <c r="AK18" s="585">
        <f>296.54*30.41</f>
        <v>9017.7813999999998</v>
      </c>
      <c r="AL18" s="586"/>
      <c r="AM18" s="586"/>
      <c r="AN18" s="586"/>
      <c r="AO18" s="586"/>
      <c r="AP18" s="587"/>
      <c r="AQ18" s="583">
        <f t="shared" si="2"/>
        <v>108213.3768</v>
      </c>
      <c r="AR18" s="583"/>
      <c r="AS18" s="583"/>
      <c r="AT18" s="583"/>
      <c r="AU18" s="583"/>
      <c r="AV18" s="583"/>
      <c r="AW18" s="583"/>
      <c r="AX18" s="583"/>
      <c r="AY18" s="588"/>
      <c r="AZ18" s="589"/>
      <c r="BA18" s="589"/>
      <c r="BB18" s="589"/>
      <c r="BC18" s="589"/>
      <c r="BD18" s="589"/>
      <c r="BE18" s="589"/>
      <c r="BF18" s="590"/>
      <c r="BG18" s="582">
        <f>296.54*10</f>
        <v>2965.4</v>
      </c>
      <c r="BH18" s="582"/>
      <c r="BI18" s="582"/>
      <c r="BJ18" s="582"/>
      <c r="BK18" s="582"/>
      <c r="BL18" s="582"/>
      <c r="BM18" s="582"/>
      <c r="BN18" s="582"/>
      <c r="BO18" s="579">
        <f t="shared" si="0"/>
        <v>14823.75024657534</v>
      </c>
      <c r="BP18" s="580"/>
      <c r="BQ18" s="580"/>
      <c r="BR18" s="580"/>
      <c r="BS18" s="580"/>
      <c r="BT18" s="580"/>
      <c r="BU18" s="580"/>
      <c r="BV18" s="581"/>
      <c r="BW18" s="582"/>
      <c r="BX18" s="582"/>
      <c r="BY18" s="582"/>
      <c r="BZ18" s="582"/>
      <c r="CA18" s="582"/>
      <c r="CB18" s="582"/>
      <c r="CC18" s="582"/>
      <c r="CD18" s="582"/>
      <c r="CE18" s="582"/>
      <c r="CF18" s="582"/>
      <c r="CG18" s="582"/>
      <c r="CH18" s="582"/>
      <c r="CI18" s="582"/>
      <c r="CJ18" s="582"/>
      <c r="CK18" s="582"/>
      <c r="CL18" s="582"/>
      <c r="CM18" s="582"/>
      <c r="CN18" s="582">
        <f>400*24*AG18</f>
        <v>9600</v>
      </c>
      <c r="CO18" s="582"/>
      <c r="CP18" s="582"/>
      <c r="CQ18" s="582"/>
      <c r="CR18" s="582"/>
      <c r="CS18" s="582"/>
      <c r="CT18" s="582"/>
      <c r="CU18" s="582"/>
      <c r="CV18" s="583">
        <f t="shared" si="1"/>
        <v>135602.52704657533</v>
      </c>
      <c r="CW18" s="583"/>
      <c r="CX18" s="583"/>
      <c r="CY18" s="583"/>
      <c r="CZ18" s="583"/>
      <c r="DA18" s="583"/>
      <c r="DB18" s="583"/>
      <c r="DC18" s="583"/>
      <c r="DD18" s="583"/>
      <c r="DE18" s="584"/>
    </row>
    <row r="19" spans="1:125" s="2" customFormat="1" ht="23.25" customHeight="1">
      <c r="A19" s="597" t="s">
        <v>1143</v>
      </c>
      <c r="B19" s="598"/>
      <c r="C19" s="598"/>
      <c r="D19" s="598"/>
      <c r="E19" s="598"/>
      <c r="F19" s="598"/>
      <c r="G19" s="598"/>
      <c r="H19" s="598"/>
      <c r="I19" s="598"/>
      <c r="J19" s="598"/>
      <c r="K19" s="598"/>
      <c r="L19" s="598"/>
      <c r="M19" s="598"/>
      <c r="N19" s="598"/>
      <c r="O19" s="598"/>
      <c r="P19" s="599" t="s">
        <v>1152</v>
      </c>
      <c r="Q19" s="599"/>
      <c r="R19" s="599"/>
      <c r="S19" s="599"/>
      <c r="T19" s="599"/>
      <c r="U19" s="599"/>
      <c r="V19" s="599"/>
      <c r="W19" s="599"/>
      <c r="X19" s="599"/>
      <c r="Y19" s="599"/>
      <c r="Z19" s="599"/>
      <c r="AA19" s="599"/>
      <c r="AB19" s="599"/>
      <c r="AC19" s="599"/>
      <c r="AD19" s="558"/>
      <c r="AE19" s="558"/>
      <c r="AF19" s="558"/>
      <c r="AG19" s="559">
        <v>1</v>
      </c>
      <c r="AH19" s="559"/>
      <c r="AI19" s="559"/>
      <c r="AJ19" s="559"/>
      <c r="AK19" s="585">
        <f>250.29*30.41</f>
        <v>7611.3189000000002</v>
      </c>
      <c r="AL19" s="586"/>
      <c r="AM19" s="586"/>
      <c r="AN19" s="586"/>
      <c r="AO19" s="586"/>
      <c r="AP19" s="587"/>
      <c r="AQ19" s="583">
        <f t="shared" si="2"/>
        <v>91335.82680000001</v>
      </c>
      <c r="AR19" s="583"/>
      <c r="AS19" s="583"/>
      <c r="AT19" s="583"/>
      <c r="AU19" s="583"/>
      <c r="AV19" s="583"/>
      <c r="AW19" s="583"/>
      <c r="AX19" s="583"/>
      <c r="AY19" s="588"/>
      <c r="AZ19" s="589"/>
      <c r="BA19" s="589"/>
      <c r="BB19" s="589"/>
      <c r="BC19" s="589"/>
      <c r="BD19" s="589"/>
      <c r="BE19" s="589"/>
      <c r="BF19" s="590"/>
      <c r="BG19" s="582">
        <f>250.29*10</f>
        <v>2502.9</v>
      </c>
      <c r="BH19" s="582"/>
      <c r="BI19" s="582"/>
      <c r="BJ19" s="582"/>
      <c r="BK19" s="582"/>
      <c r="BL19" s="582"/>
      <c r="BM19" s="582"/>
      <c r="BN19" s="582"/>
      <c r="BO19" s="579">
        <f t="shared" si="0"/>
        <v>12511.757095890413</v>
      </c>
      <c r="BP19" s="580"/>
      <c r="BQ19" s="580"/>
      <c r="BR19" s="580"/>
      <c r="BS19" s="580"/>
      <c r="BT19" s="580"/>
      <c r="BU19" s="580"/>
      <c r="BV19" s="581"/>
      <c r="BW19" s="582"/>
      <c r="BX19" s="582"/>
      <c r="BY19" s="582"/>
      <c r="BZ19" s="582"/>
      <c r="CA19" s="582"/>
      <c r="CB19" s="582"/>
      <c r="CC19" s="582"/>
      <c r="CD19" s="582"/>
      <c r="CE19" s="582"/>
      <c r="CF19" s="582"/>
      <c r="CG19" s="582"/>
      <c r="CH19" s="582"/>
      <c r="CI19" s="582"/>
      <c r="CJ19" s="582"/>
      <c r="CK19" s="582"/>
      <c r="CL19" s="582"/>
      <c r="CM19" s="582"/>
      <c r="CN19" s="582">
        <f t="shared" ref="CN19:CN20" si="4">400*24*AG19</f>
        <v>9600</v>
      </c>
      <c r="CO19" s="582"/>
      <c r="CP19" s="582"/>
      <c r="CQ19" s="582"/>
      <c r="CR19" s="582"/>
      <c r="CS19" s="582"/>
      <c r="CT19" s="582"/>
      <c r="CU19" s="582"/>
      <c r="CV19" s="583">
        <f t="shared" si="1"/>
        <v>115950.48389589041</v>
      </c>
      <c r="CW19" s="583"/>
      <c r="CX19" s="583"/>
      <c r="CY19" s="583"/>
      <c r="CZ19" s="583"/>
      <c r="DA19" s="583"/>
      <c r="DB19" s="583"/>
      <c r="DC19" s="583"/>
      <c r="DD19" s="583"/>
      <c r="DE19" s="584"/>
    </row>
    <row r="20" spans="1:125" s="2" customFormat="1" ht="23.25" customHeight="1">
      <c r="A20" s="597" t="s">
        <v>1154</v>
      </c>
      <c r="B20" s="598"/>
      <c r="C20" s="598"/>
      <c r="D20" s="598"/>
      <c r="E20" s="598"/>
      <c r="F20" s="598"/>
      <c r="G20" s="598"/>
      <c r="H20" s="598"/>
      <c r="I20" s="598"/>
      <c r="J20" s="598"/>
      <c r="K20" s="598"/>
      <c r="L20" s="598"/>
      <c r="M20" s="598"/>
      <c r="N20" s="598"/>
      <c r="O20" s="598"/>
      <c r="P20" s="599" t="s">
        <v>1152</v>
      </c>
      <c r="Q20" s="599"/>
      <c r="R20" s="599"/>
      <c r="S20" s="599"/>
      <c r="T20" s="599"/>
      <c r="U20" s="599"/>
      <c r="V20" s="599"/>
      <c r="W20" s="599"/>
      <c r="X20" s="599"/>
      <c r="Y20" s="599"/>
      <c r="Z20" s="599"/>
      <c r="AA20" s="599"/>
      <c r="AB20" s="599"/>
      <c r="AC20" s="599"/>
      <c r="AD20" s="558"/>
      <c r="AE20" s="558"/>
      <c r="AF20" s="558"/>
      <c r="AG20" s="559">
        <v>1</v>
      </c>
      <c r="AH20" s="559"/>
      <c r="AI20" s="559"/>
      <c r="AJ20" s="559"/>
      <c r="AK20" s="585">
        <f>250.29*30.41</f>
        <v>7611.3189000000002</v>
      </c>
      <c r="AL20" s="586"/>
      <c r="AM20" s="586"/>
      <c r="AN20" s="586"/>
      <c r="AO20" s="586"/>
      <c r="AP20" s="587"/>
      <c r="AQ20" s="583">
        <f>AG20*AK20*12</f>
        <v>91335.82680000001</v>
      </c>
      <c r="AR20" s="583"/>
      <c r="AS20" s="583"/>
      <c r="AT20" s="583"/>
      <c r="AU20" s="583"/>
      <c r="AV20" s="583"/>
      <c r="AW20" s="583"/>
      <c r="AX20" s="583"/>
      <c r="AY20" s="588"/>
      <c r="AZ20" s="589"/>
      <c r="BA20" s="589"/>
      <c r="BB20" s="589"/>
      <c r="BC20" s="589"/>
      <c r="BD20" s="589"/>
      <c r="BE20" s="589"/>
      <c r="BF20" s="590"/>
      <c r="BG20" s="582">
        <f>250.29*10</f>
        <v>2502.9</v>
      </c>
      <c r="BH20" s="582"/>
      <c r="BI20" s="582"/>
      <c r="BJ20" s="582"/>
      <c r="BK20" s="582"/>
      <c r="BL20" s="582"/>
      <c r="BM20" s="582"/>
      <c r="BN20" s="582"/>
      <c r="BO20" s="579">
        <f t="shared" si="0"/>
        <v>12511.757095890413</v>
      </c>
      <c r="BP20" s="580"/>
      <c r="BQ20" s="580"/>
      <c r="BR20" s="580"/>
      <c r="BS20" s="580"/>
      <c r="BT20" s="580"/>
      <c r="BU20" s="580"/>
      <c r="BV20" s="581"/>
      <c r="BW20" s="582"/>
      <c r="BX20" s="582"/>
      <c r="BY20" s="582"/>
      <c r="BZ20" s="582"/>
      <c r="CA20" s="582"/>
      <c r="CB20" s="582"/>
      <c r="CC20" s="582"/>
      <c r="CD20" s="582"/>
      <c r="CE20" s="582"/>
      <c r="CF20" s="582"/>
      <c r="CG20" s="582"/>
      <c r="CH20" s="582"/>
      <c r="CI20" s="582"/>
      <c r="CJ20" s="582"/>
      <c r="CK20" s="582"/>
      <c r="CL20" s="582"/>
      <c r="CM20" s="582"/>
      <c r="CN20" s="582">
        <f t="shared" si="4"/>
        <v>9600</v>
      </c>
      <c r="CO20" s="582"/>
      <c r="CP20" s="582"/>
      <c r="CQ20" s="582"/>
      <c r="CR20" s="582"/>
      <c r="CS20" s="582"/>
      <c r="CT20" s="582"/>
      <c r="CU20" s="582"/>
      <c r="CV20" s="583">
        <f>SUM(AQ20:CU20)</f>
        <v>115950.48389589041</v>
      </c>
      <c r="CW20" s="583"/>
      <c r="CX20" s="583"/>
      <c r="CY20" s="583"/>
      <c r="CZ20" s="583"/>
      <c r="DA20" s="583"/>
      <c r="DB20" s="583"/>
      <c r="DC20" s="583"/>
      <c r="DD20" s="583"/>
      <c r="DE20" s="584"/>
    </row>
    <row r="21" spans="1:125" s="2" customFormat="1" ht="23.25" customHeight="1">
      <c r="A21" s="597" t="s">
        <v>1155</v>
      </c>
      <c r="B21" s="598"/>
      <c r="C21" s="598"/>
      <c r="D21" s="598"/>
      <c r="E21" s="598"/>
      <c r="F21" s="598"/>
      <c r="G21" s="598"/>
      <c r="H21" s="598"/>
      <c r="I21" s="598"/>
      <c r="J21" s="598"/>
      <c r="K21" s="598"/>
      <c r="L21" s="598"/>
      <c r="M21" s="598"/>
      <c r="N21" s="598"/>
      <c r="O21" s="598"/>
      <c r="P21" s="599" t="s">
        <v>1156</v>
      </c>
      <c r="Q21" s="599"/>
      <c r="R21" s="599"/>
      <c r="S21" s="599"/>
      <c r="T21" s="599"/>
      <c r="U21" s="599"/>
      <c r="V21" s="599"/>
      <c r="W21" s="599"/>
      <c r="X21" s="599"/>
      <c r="Y21" s="599"/>
      <c r="Z21" s="599"/>
      <c r="AA21" s="599"/>
      <c r="AB21" s="599"/>
      <c r="AC21" s="599"/>
      <c r="AD21" s="558"/>
      <c r="AE21" s="558"/>
      <c r="AF21" s="558"/>
      <c r="AG21" s="559">
        <v>1</v>
      </c>
      <c r="AH21" s="559"/>
      <c r="AI21" s="559"/>
      <c r="AJ21" s="559"/>
      <c r="AK21" s="585">
        <f>824.36*30.41</f>
        <v>25068.7876</v>
      </c>
      <c r="AL21" s="586"/>
      <c r="AM21" s="586"/>
      <c r="AN21" s="586"/>
      <c r="AO21" s="586"/>
      <c r="AP21" s="587"/>
      <c r="AQ21" s="583">
        <f t="shared" si="2"/>
        <v>300825.45120000001</v>
      </c>
      <c r="AR21" s="583"/>
      <c r="AS21" s="583"/>
      <c r="AT21" s="583"/>
      <c r="AU21" s="583"/>
      <c r="AV21" s="583"/>
      <c r="AW21" s="583"/>
      <c r="AX21" s="583"/>
      <c r="AY21" s="588"/>
      <c r="AZ21" s="589"/>
      <c r="BA21" s="589"/>
      <c r="BB21" s="589"/>
      <c r="BC21" s="589"/>
      <c r="BD21" s="589"/>
      <c r="BE21" s="589"/>
      <c r="BF21" s="590"/>
      <c r="BG21" s="582">
        <f>824.36*10</f>
        <v>8243.6</v>
      </c>
      <c r="BH21" s="582"/>
      <c r="BI21" s="582"/>
      <c r="BJ21" s="582"/>
      <c r="BK21" s="582"/>
      <c r="BL21" s="582"/>
      <c r="BM21" s="582"/>
      <c r="BN21" s="582"/>
      <c r="BO21" s="579">
        <f t="shared" si="0"/>
        <v>41208.965917808222</v>
      </c>
      <c r="BP21" s="580"/>
      <c r="BQ21" s="580"/>
      <c r="BR21" s="580"/>
      <c r="BS21" s="580"/>
      <c r="BT21" s="580"/>
      <c r="BU21" s="580"/>
      <c r="BV21" s="581"/>
      <c r="BW21" s="582"/>
      <c r="BX21" s="582"/>
      <c r="BY21" s="582"/>
      <c r="BZ21" s="582"/>
      <c r="CA21" s="582"/>
      <c r="CB21" s="582"/>
      <c r="CC21" s="582"/>
      <c r="CD21" s="582"/>
      <c r="CE21" s="582"/>
      <c r="CF21" s="582"/>
      <c r="CG21" s="582"/>
      <c r="CH21" s="582"/>
      <c r="CI21" s="582"/>
      <c r="CJ21" s="582"/>
      <c r="CK21" s="582"/>
      <c r="CL21" s="582"/>
      <c r="CM21" s="582"/>
      <c r="CN21" s="582"/>
      <c r="CO21" s="582"/>
      <c r="CP21" s="582"/>
      <c r="CQ21" s="582"/>
      <c r="CR21" s="582"/>
      <c r="CS21" s="582"/>
      <c r="CT21" s="582"/>
      <c r="CU21" s="582"/>
      <c r="CV21" s="583">
        <f t="shared" si="1"/>
        <v>350278.01711780822</v>
      </c>
      <c r="CW21" s="583"/>
      <c r="CX21" s="583"/>
      <c r="CY21" s="583"/>
      <c r="CZ21" s="583"/>
      <c r="DA21" s="583"/>
      <c r="DB21" s="583"/>
      <c r="DC21" s="583"/>
      <c r="DD21" s="583"/>
      <c r="DE21" s="584"/>
    </row>
    <row r="22" spans="1:125" s="2" customFormat="1" ht="23.25" customHeight="1">
      <c r="A22" s="597" t="s">
        <v>1143</v>
      </c>
      <c r="B22" s="598"/>
      <c r="C22" s="598"/>
      <c r="D22" s="598"/>
      <c r="E22" s="598"/>
      <c r="F22" s="598"/>
      <c r="G22" s="598"/>
      <c r="H22" s="598"/>
      <c r="I22" s="598"/>
      <c r="J22" s="598"/>
      <c r="K22" s="598"/>
      <c r="L22" s="598"/>
      <c r="M22" s="598"/>
      <c r="N22" s="598"/>
      <c r="O22" s="598"/>
      <c r="P22" s="599" t="s">
        <v>1156</v>
      </c>
      <c r="Q22" s="599"/>
      <c r="R22" s="599"/>
      <c r="S22" s="599"/>
      <c r="T22" s="599"/>
      <c r="U22" s="599"/>
      <c r="V22" s="599"/>
      <c r="W22" s="599"/>
      <c r="X22" s="599"/>
      <c r="Y22" s="599"/>
      <c r="Z22" s="599"/>
      <c r="AA22" s="599"/>
      <c r="AB22" s="599"/>
      <c r="AC22" s="599"/>
      <c r="AD22" s="558"/>
      <c r="AE22" s="558"/>
      <c r="AF22" s="558"/>
      <c r="AG22" s="559">
        <v>1</v>
      </c>
      <c r="AH22" s="559"/>
      <c r="AI22" s="559"/>
      <c r="AJ22" s="559"/>
      <c r="AK22" s="585">
        <f>296.1*30.41</f>
        <v>9004.4009999999998</v>
      </c>
      <c r="AL22" s="586"/>
      <c r="AM22" s="586"/>
      <c r="AN22" s="586"/>
      <c r="AO22" s="586"/>
      <c r="AP22" s="587"/>
      <c r="AQ22" s="583">
        <f t="shared" si="2"/>
        <v>108052.81200000001</v>
      </c>
      <c r="AR22" s="583"/>
      <c r="AS22" s="583"/>
      <c r="AT22" s="583"/>
      <c r="AU22" s="583"/>
      <c r="AV22" s="583"/>
      <c r="AW22" s="583"/>
      <c r="AX22" s="583"/>
      <c r="AY22" s="588"/>
      <c r="AZ22" s="589"/>
      <c r="BA22" s="589"/>
      <c r="BB22" s="589"/>
      <c r="BC22" s="589"/>
      <c r="BD22" s="589"/>
      <c r="BE22" s="589"/>
      <c r="BF22" s="590"/>
      <c r="BG22" s="582">
        <f>296.54*10</f>
        <v>2965.4</v>
      </c>
      <c r="BH22" s="582"/>
      <c r="BI22" s="582"/>
      <c r="BJ22" s="582"/>
      <c r="BK22" s="582"/>
      <c r="BL22" s="582"/>
      <c r="BM22" s="582"/>
      <c r="BN22" s="582"/>
      <c r="BO22" s="579">
        <f t="shared" si="0"/>
        <v>14801.75506849315</v>
      </c>
      <c r="BP22" s="580"/>
      <c r="BQ22" s="580"/>
      <c r="BR22" s="580"/>
      <c r="BS22" s="580"/>
      <c r="BT22" s="580"/>
      <c r="BU22" s="580"/>
      <c r="BV22" s="581"/>
      <c r="BW22" s="582"/>
      <c r="BX22" s="582"/>
      <c r="BY22" s="582"/>
      <c r="BZ22" s="582"/>
      <c r="CA22" s="582"/>
      <c r="CB22" s="582"/>
      <c r="CC22" s="582"/>
      <c r="CD22" s="582"/>
      <c r="CE22" s="582"/>
      <c r="CF22" s="582"/>
      <c r="CG22" s="582"/>
      <c r="CH22" s="582"/>
      <c r="CI22" s="582"/>
      <c r="CJ22" s="582"/>
      <c r="CK22" s="582"/>
      <c r="CL22" s="582"/>
      <c r="CM22" s="582"/>
      <c r="CN22" s="582">
        <f>400*24</f>
        <v>9600</v>
      </c>
      <c r="CO22" s="582"/>
      <c r="CP22" s="582"/>
      <c r="CQ22" s="582"/>
      <c r="CR22" s="582"/>
      <c r="CS22" s="582"/>
      <c r="CT22" s="582"/>
      <c r="CU22" s="582"/>
      <c r="CV22" s="583">
        <f t="shared" si="1"/>
        <v>135419.96706849313</v>
      </c>
      <c r="CW22" s="583"/>
      <c r="CX22" s="583"/>
      <c r="CY22" s="583"/>
      <c r="CZ22" s="583"/>
      <c r="DA22" s="583"/>
      <c r="DB22" s="583"/>
      <c r="DC22" s="583"/>
      <c r="DD22" s="583"/>
      <c r="DE22" s="584"/>
    </row>
    <row r="23" spans="1:125" s="2" customFormat="1" ht="23.25" customHeight="1">
      <c r="A23" s="597" t="s">
        <v>1157</v>
      </c>
      <c r="B23" s="598"/>
      <c r="C23" s="598"/>
      <c r="D23" s="598"/>
      <c r="E23" s="598"/>
      <c r="F23" s="598"/>
      <c r="G23" s="598"/>
      <c r="H23" s="598"/>
      <c r="I23" s="598"/>
      <c r="J23" s="598"/>
      <c r="K23" s="598"/>
      <c r="L23" s="598"/>
      <c r="M23" s="598"/>
      <c r="N23" s="598"/>
      <c r="O23" s="598"/>
      <c r="P23" s="557" t="s">
        <v>1158</v>
      </c>
      <c r="Q23" s="557"/>
      <c r="R23" s="557"/>
      <c r="S23" s="557"/>
      <c r="T23" s="557"/>
      <c r="U23" s="557"/>
      <c r="V23" s="557"/>
      <c r="W23" s="557"/>
      <c r="X23" s="557"/>
      <c r="Y23" s="557"/>
      <c r="Z23" s="557"/>
      <c r="AA23" s="557"/>
      <c r="AB23" s="557"/>
      <c r="AC23" s="557"/>
      <c r="AD23" s="558"/>
      <c r="AE23" s="558"/>
      <c r="AF23" s="558"/>
      <c r="AG23" s="559">
        <v>1</v>
      </c>
      <c r="AH23" s="559"/>
      <c r="AI23" s="559"/>
      <c r="AJ23" s="559"/>
      <c r="AK23" s="585">
        <f>824.36*30.41</f>
        <v>25068.7876</v>
      </c>
      <c r="AL23" s="586"/>
      <c r="AM23" s="586"/>
      <c r="AN23" s="586"/>
      <c r="AO23" s="586"/>
      <c r="AP23" s="587"/>
      <c r="AQ23" s="583">
        <f t="shared" si="2"/>
        <v>300825.45120000001</v>
      </c>
      <c r="AR23" s="583"/>
      <c r="AS23" s="583"/>
      <c r="AT23" s="583"/>
      <c r="AU23" s="583"/>
      <c r="AV23" s="583"/>
      <c r="AW23" s="583"/>
      <c r="AX23" s="583"/>
      <c r="AY23" s="588"/>
      <c r="AZ23" s="589"/>
      <c r="BA23" s="589"/>
      <c r="BB23" s="589"/>
      <c r="BC23" s="589"/>
      <c r="BD23" s="589"/>
      <c r="BE23" s="589"/>
      <c r="BF23" s="590"/>
      <c r="BG23" s="582">
        <f>594.67*10</f>
        <v>5946.7</v>
      </c>
      <c r="BH23" s="582"/>
      <c r="BI23" s="582"/>
      <c r="BJ23" s="582"/>
      <c r="BK23" s="582"/>
      <c r="BL23" s="582"/>
      <c r="BM23" s="582"/>
      <c r="BN23" s="582"/>
      <c r="BO23" s="579">
        <f t="shared" si="0"/>
        <v>41208.965917808222</v>
      </c>
      <c r="BP23" s="580"/>
      <c r="BQ23" s="580"/>
      <c r="BR23" s="580"/>
      <c r="BS23" s="580"/>
      <c r="BT23" s="580"/>
      <c r="BU23" s="580"/>
      <c r="BV23" s="581"/>
      <c r="BW23" s="582"/>
      <c r="BX23" s="582"/>
      <c r="BY23" s="582"/>
      <c r="BZ23" s="582"/>
      <c r="CA23" s="582"/>
      <c r="CB23" s="582"/>
      <c r="CC23" s="582"/>
      <c r="CD23" s="582"/>
      <c r="CE23" s="582"/>
      <c r="CF23" s="582"/>
      <c r="CG23" s="582"/>
      <c r="CH23" s="582"/>
      <c r="CI23" s="582"/>
      <c r="CJ23" s="582"/>
      <c r="CK23" s="582"/>
      <c r="CL23" s="582"/>
      <c r="CM23" s="582"/>
      <c r="CN23" s="582"/>
      <c r="CO23" s="582"/>
      <c r="CP23" s="582"/>
      <c r="CQ23" s="582"/>
      <c r="CR23" s="582"/>
      <c r="CS23" s="582"/>
      <c r="CT23" s="582"/>
      <c r="CU23" s="582"/>
      <c r="CV23" s="583">
        <f t="shared" si="1"/>
        <v>347981.11711780826</v>
      </c>
      <c r="CW23" s="583"/>
      <c r="CX23" s="583"/>
      <c r="CY23" s="583"/>
      <c r="CZ23" s="583"/>
      <c r="DA23" s="583"/>
      <c r="DB23" s="583"/>
      <c r="DC23" s="583"/>
      <c r="DD23" s="583"/>
      <c r="DE23" s="584"/>
    </row>
    <row r="24" spans="1:125" s="2" customFormat="1" ht="23.25" customHeight="1">
      <c r="A24" s="597" t="s">
        <v>1159</v>
      </c>
      <c r="B24" s="598"/>
      <c r="C24" s="598"/>
      <c r="D24" s="598"/>
      <c r="E24" s="598"/>
      <c r="F24" s="598"/>
      <c r="G24" s="598"/>
      <c r="H24" s="598"/>
      <c r="I24" s="598"/>
      <c r="J24" s="598"/>
      <c r="K24" s="598"/>
      <c r="L24" s="598"/>
      <c r="M24" s="598"/>
      <c r="N24" s="598"/>
      <c r="O24" s="598"/>
      <c r="P24" s="557" t="s">
        <v>1158</v>
      </c>
      <c r="Q24" s="557"/>
      <c r="R24" s="557"/>
      <c r="S24" s="557"/>
      <c r="T24" s="557"/>
      <c r="U24" s="557"/>
      <c r="V24" s="557"/>
      <c r="W24" s="557"/>
      <c r="X24" s="557"/>
      <c r="Y24" s="557"/>
      <c r="Z24" s="557"/>
      <c r="AA24" s="557"/>
      <c r="AB24" s="557"/>
      <c r="AC24" s="557"/>
      <c r="AD24" s="558"/>
      <c r="AE24" s="558"/>
      <c r="AF24" s="558"/>
      <c r="AG24" s="559">
        <v>1</v>
      </c>
      <c r="AH24" s="559"/>
      <c r="AI24" s="559"/>
      <c r="AJ24" s="559"/>
      <c r="AK24" s="585">
        <f>250.29*30.41</f>
        <v>7611.3189000000002</v>
      </c>
      <c r="AL24" s="586"/>
      <c r="AM24" s="586"/>
      <c r="AN24" s="586"/>
      <c r="AO24" s="586"/>
      <c r="AP24" s="587"/>
      <c r="AQ24" s="583">
        <f t="shared" si="2"/>
        <v>91335.82680000001</v>
      </c>
      <c r="AR24" s="583"/>
      <c r="AS24" s="583"/>
      <c r="AT24" s="583"/>
      <c r="AU24" s="583"/>
      <c r="AV24" s="583"/>
      <c r="AW24" s="583"/>
      <c r="AX24" s="583"/>
      <c r="AY24" s="588"/>
      <c r="AZ24" s="589"/>
      <c r="BA24" s="589"/>
      <c r="BB24" s="589"/>
      <c r="BC24" s="589"/>
      <c r="BD24" s="589"/>
      <c r="BE24" s="589"/>
      <c r="BF24" s="590"/>
      <c r="BG24" s="582">
        <f>250.29*10</f>
        <v>2502.9</v>
      </c>
      <c r="BH24" s="582"/>
      <c r="BI24" s="582"/>
      <c r="BJ24" s="582"/>
      <c r="BK24" s="582"/>
      <c r="BL24" s="582"/>
      <c r="BM24" s="582"/>
      <c r="BN24" s="582"/>
      <c r="BO24" s="579">
        <f t="shared" si="0"/>
        <v>12511.757095890413</v>
      </c>
      <c r="BP24" s="580"/>
      <c r="BQ24" s="580"/>
      <c r="BR24" s="580"/>
      <c r="BS24" s="580"/>
      <c r="BT24" s="580"/>
      <c r="BU24" s="580"/>
      <c r="BV24" s="581"/>
      <c r="BW24" s="582"/>
      <c r="BX24" s="582"/>
      <c r="BY24" s="582"/>
      <c r="BZ24" s="582"/>
      <c r="CA24" s="582"/>
      <c r="CB24" s="582"/>
      <c r="CC24" s="582"/>
      <c r="CD24" s="582"/>
      <c r="CE24" s="582"/>
      <c r="CF24" s="582"/>
      <c r="CG24" s="582"/>
      <c r="CH24" s="582"/>
      <c r="CI24" s="582"/>
      <c r="CJ24" s="582"/>
      <c r="CK24" s="582"/>
      <c r="CL24" s="582"/>
      <c r="CM24" s="582"/>
      <c r="CN24" s="582">
        <f>400*24</f>
        <v>9600</v>
      </c>
      <c r="CO24" s="582"/>
      <c r="CP24" s="582"/>
      <c r="CQ24" s="582"/>
      <c r="CR24" s="582"/>
      <c r="CS24" s="582"/>
      <c r="CT24" s="582"/>
      <c r="CU24" s="582"/>
      <c r="CV24" s="583">
        <f t="shared" si="1"/>
        <v>115950.48389589041</v>
      </c>
      <c r="CW24" s="583"/>
      <c r="CX24" s="583"/>
      <c r="CY24" s="583"/>
      <c r="CZ24" s="583"/>
      <c r="DA24" s="583"/>
      <c r="DB24" s="583"/>
      <c r="DC24" s="583"/>
      <c r="DD24" s="583"/>
      <c r="DE24" s="584"/>
      <c r="DU24" s="46"/>
    </row>
    <row r="25" spans="1:125" s="2" customFormat="1" ht="23.25" customHeight="1">
      <c r="A25" s="597" t="s">
        <v>1160</v>
      </c>
      <c r="B25" s="598"/>
      <c r="C25" s="598"/>
      <c r="D25" s="598"/>
      <c r="E25" s="598"/>
      <c r="F25" s="598"/>
      <c r="G25" s="598"/>
      <c r="H25" s="598"/>
      <c r="I25" s="598"/>
      <c r="J25" s="598"/>
      <c r="K25" s="598"/>
      <c r="L25" s="598"/>
      <c r="M25" s="598"/>
      <c r="N25" s="598"/>
      <c r="O25" s="598"/>
      <c r="P25" s="557" t="s">
        <v>1161</v>
      </c>
      <c r="Q25" s="557"/>
      <c r="R25" s="557"/>
      <c r="S25" s="557"/>
      <c r="T25" s="557"/>
      <c r="U25" s="557"/>
      <c r="V25" s="557"/>
      <c r="W25" s="557"/>
      <c r="X25" s="557"/>
      <c r="Y25" s="557"/>
      <c r="Z25" s="557"/>
      <c r="AA25" s="557"/>
      <c r="AB25" s="557"/>
      <c r="AC25" s="557"/>
      <c r="AD25" s="558"/>
      <c r="AE25" s="558"/>
      <c r="AF25" s="558"/>
      <c r="AG25" s="559">
        <v>1</v>
      </c>
      <c r="AH25" s="559"/>
      <c r="AI25" s="559"/>
      <c r="AJ25" s="559"/>
      <c r="AK25" s="585">
        <f>824.36*30.41</f>
        <v>25068.7876</v>
      </c>
      <c r="AL25" s="586"/>
      <c r="AM25" s="586"/>
      <c r="AN25" s="586"/>
      <c r="AO25" s="586"/>
      <c r="AP25" s="587"/>
      <c r="AQ25" s="583">
        <f t="shared" si="2"/>
        <v>300825.45120000001</v>
      </c>
      <c r="AR25" s="583"/>
      <c r="AS25" s="583"/>
      <c r="AT25" s="583"/>
      <c r="AU25" s="583"/>
      <c r="AV25" s="583"/>
      <c r="AW25" s="583"/>
      <c r="AX25" s="583"/>
      <c r="AY25" s="588"/>
      <c r="AZ25" s="589"/>
      <c r="BA25" s="589"/>
      <c r="BB25" s="589"/>
      <c r="BC25" s="589"/>
      <c r="BD25" s="589"/>
      <c r="BE25" s="589"/>
      <c r="BF25" s="590"/>
      <c r="BG25" s="582">
        <f>824.36*10</f>
        <v>8243.6</v>
      </c>
      <c r="BH25" s="582"/>
      <c r="BI25" s="582"/>
      <c r="BJ25" s="582"/>
      <c r="BK25" s="582"/>
      <c r="BL25" s="582"/>
      <c r="BM25" s="582"/>
      <c r="BN25" s="582"/>
      <c r="BO25" s="579">
        <f t="shared" si="0"/>
        <v>41208.965917808222</v>
      </c>
      <c r="BP25" s="580"/>
      <c r="BQ25" s="580"/>
      <c r="BR25" s="580"/>
      <c r="BS25" s="580"/>
      <c r="BT25" s="580"/>
      <c r="BU25" s="580"/>
      <c r="BV25" s="581"/>
      <c r="BW25" s="582"/>
      <c r="BX25" s="582"/>
      <c r="BY25" s="582"/>
      <c r="BZ25" s="582"/>
      <c r="CA25" s="582"/>
      <c r="CB25" s="582"/>
      <c r="CC25" s="582"/>
      <c r="CD25" s="582"/>
      <c r="CE25" s="582"/>
      <c r="CF25" s="582"/>
      <c r="CG25" s="582"/>
      <c r="CH25" s="582"/>
      <c r="CI25" s="582"/>
      <c r="CJ25" s="582"/>
      <c r="CK25" s="582"/>
      <c r="CL25" s="582"/>
      <c r="CM25" s="582"/>
      <c r="CN25" s="582"/>
      <c r="CO25" s="582"/>
      <c r="CP25" s="582"/>
      <c r="CQ25" s="582"/>
      <c r="CR25" s="582"/>
      <c r="CS25" s="582"/>
      <c r="CT25" s="582"/>
      <c r="CU25" s="582"/>
      <c r="CV25" s="583">
        <f t="shared" si="1"/>
        <v>350278.01711780822</v>
      </c>
      <c r="CW25" s="583"/>
      <c r="CX25" s="583"/>
      <c r="CY25" s="583"/>
      <c r="CZ25" s="583"/>
      <c r="DA25" s="583"/>
      <c r="DB25" s="583"/>
      <c r="DC25" s="583"/>
      <c r="DD25" s="583"/>
      <c r="DE25" s="584"/>
    </row>
    <row r="26" spans="1:125" s="2" customFormat="1" ht="23.25" customHeight="1">
      <c r="A26" s="597" t="s">
        <v>1143</v>
      </c>
      <c r="B26" s="598"/>
      <c r="C26" s="598"/>
      <c r="D26" s="598"/>
      <c r="E26" s="598"/>
      <c r="F26" s="598"/>
      <c r="G26" s="598"/>
      <c r="H26" s="598"/>
      <c r="I26" s="598"/>
      <c r="J26" s="598"/>
      <c r="K26" s="598"/>
      <c r="L26" s="598"/>
      <c r="M26" s="598"/>
      <c r="N26" s="598"/>
      <c r="O26" s="598"/>
      <c r="P26" s="557" t="s">
        <v>1161</v>
      </c>
      <c r="Q26" s="557"/>
      <c r="R26" s="557"/>
      <c r="S26" s="557"/>
      <c r="T26" s="557"/>
      <c r="U26" s="557"/>
      <c r="V26" s="557"/>
      <c r="W26" s="557"/>
      <c r="X26" s="557"/>
      <c r="Y26" s="557"/>
      <c r="Z26" s="557"/>
      <c r="AA26" s="557"/>
      <c r="AB26" s="557"/>
      <c r="AC26" s="557"/>
      <c r="AD26" s="558"/>
      <c r="AE26" s="558"/>
      <c r="AF26" s="558"/>
      <c r="AG26" s="559">
        <v>4</v>
      </c>
      <c r="AH26" s="559"/>
      <c r="AI26" s="559"/>
      <c r="AJ26" s="559"/>
      <c r="AK26" s="585">
        <f>250.29*30.41</f>
        <v>7611.3189000000002</v>
      </c>
      <c r="AL26" s="586"/>
      <c r="AM26" s="586"/>
      <c r="AN26" s="586"/>
      <c r="AO26" s="586"/>
      <c r="AP26" s="587"/>
      <c r="AQ26" s="583">
        <f t="shared" si="2"/>
        <v>365343.30720000004</v>
      </c>
      <c r="AR26" s="583"/>
      <c r="AS26" s="583"/>
      <c r="AT26" s="583"/>
      <c r="AU26" s="583"/>
      <c r="AV26" s="583"/>
      <c r="AW26" s="583"/>
      <c r="AX26" s="583"/>
      <c r="AY26" s="588"/>
      <c r="AZ26" s="589"/>
      <c r="BA26" s="589"/>
      <c r="BB26" s="589"/>
      <c r="BC26" s="589"/>
      <c r="BD26" s="589"/>
      <c r="BE26" s="589"/>
      <c r="BF26" s="590"/>
      <c r="BG26" s="582">
        <f>250.29*10</f>
        <v>2502.9</v>
      </c>
      <c r="BH26" s="582"/>
      <c r="BI26" s="582"/>
      <c r="BJ26" s="582"/>
      <c r="BK26" s="582"/>
      <c r="BL26" s="582"/>
      <c r="BM26" s="582"/>
      <c r="BN26" s="582"/>
      <c r="BO26" s="579">
        <f t="shared" si="0"/>
        <v>50047.02838356165</v>
      </c>
      <c r="BP26" s="580"/>
      <c r="BQ26" s="580"/>
      <c r="BR26" s="580"/>
      <c r="BS26" s="580"/>
      <c r="BT26" s="580"/>
      <c r="BU26" s="580"/>
      <c r="BV26" s="581"/>
      <c r="BW26" s="582"/>
      <c r="BX26" s="582"/>
      <c r="BY26" s="582"/>
      <c r="BZ26" s="582"/>
      <c r="CA26" s="582"/>
      <c r="CB26" s="582"/>
      <c r="CC26" s="582"/>
      <c r="CD26" s="582"/>
      <c r="CE26" s="582"/>
      <c r="CF26" s="582"/>
      <c r="CG26" s="582"/>
      <c r="CH26" s="582"/>
      <c r="CI26" s="582"/>
      <c r="CJ26" s="582"/>
      <c r="CK26" s="582"/>
      <c r="CL26" s="582"/>
      <c r="CM26" s="582"/>
      <c r="CN26" s="582">
        <f>400*24*AG26</f>
        <v>38400</v>
      </c>
      <c r="CO26" s="582"/>
      <c r="CP26" s="582"/>
      <c r="CQ26" s="582"/>
      <c r="CR26" s="582"/>
      <c r="CS26" s="582"/>
      <c r="CT26" s="582"/>
      <c r="CU26" s="582"/>
      <c r="CV26" s="583">
        <f t="shared" si="1"/>
        <v>456293.23558356171</v>
      </c>
      <c r="CW26" s="583"/>
      <c r="CX26" s="583"/>
      <c r="CY26" s="583"/>
      <c r="CZ26" s="583"/>
      <c r="DA26" s="583"/>
      <c r="DB26" s="583"/>
      <c r="DC26" s="583"/>
      <c r="DD26" s="583"/>
      <c r="DE26" s="584"/>
    </row>
    <row r="27" spans="1:125" s="2" customFormat="1" ht="23.25" customHeight="1">
      <c r="A27" s="597" t="s">
        <v>1162</v>
      </c>
      <c r="B27" s="598"/>
      <c r="C27" s="598"/>
      <c r="D27" s="598"/>
      <c r="E27" s="598"/>
      <c r="F27" s="598"/>
      <c r="G27" s="598"/>
      <c r="H27" s="598"/>
      <c r="I27" s="598"/>
      <c r="J27" s="598"/>
      <c r="K27" s="598"/>
      <c r="L27" s="598"/>
      <c r="M27" s="598"/>
      <c r="N27" s="598"/>
      <c r="O27" s="598"/>
      <c r="P27" s="557" t="s">
        <v>1161</v>
      </c>
      <c r="Q27" s="557"/>
      <c r="R27" s="557"/>
      <c r="S27" s="557"/>
      <c r="T27" s="557"/>
      <c r="U27" s="557"/>
      <c r="V27" s="557"/>
      <c r="W27" s="557"/>
      <c r="X27" s="557"/>
      <c r="Y27" s="557"/>
      <c r="Z27" s="557"/>
      <c r="AA27" s="557"/>
      <c r="AB27" s="557"/>
      <c r="AC27" s="557"/>
      <c r="AD27" s="558"/>
      <c r="AE27" s="558"/>
      <c r="AF27" s="558"/>
      <c r="AG27" s="559">
        <v>1</v>
      </c>
      <c r="AH27" s="559"/>
      <c r="AI27" s="559"/>
      <c r="AJ27" s="559"/>
      <c r="AK27" s="585">
        <f>250.29*30.41</f>
        <v>7611.3189000000002</v>
      </c>
      <c r="AL27" s="586"/>
      <c r="AM27" s="586"/>
      <c r="AN27" s="586"/>
      <c r="AO27" s="586"/>
      <c r="AP27" s="587"/>
      <c r="AQ27" s="583">
        <f t="shared" si="2"/>
        <v>91335.82680000001</v>
      </c>
      <c r="AR27" s="583"/>
      <c r="AS27" s="583"/>
      <c r="AT27" s="583"/>
      <c r="AU27" s="583"/>
      <c r="AV27" s="583"/>
      <c r="AW27" s="583"/>
      <c r="AX27" s="583"/>
      <c r="AY27" s="588"/>
      <c r="AZ27" s="589"/>
      <c r="BA27" s="589"/>
      <c r="BB27" s="589"/>
      <c r="BC27" s="589"/>
      <c r="BD27" s="589"/>
      <c r="BE27" s="589"/>
      <c r="BF27" s="590"/>
      <c r="BG27" s="582">
        <f>250.29*10</f>
        <v>2502.9</v>
      </c>
      <c r="BH27" s="582"/>
      <c r="BI27" s="582"/>
      <c r="BJ27" s="582"/>
      <c r="BK27" s="582"/>
      <c r="BL27" s="582"/>
      <c r="BM27" s="582"/>
      <c r="BN27" s="582"/>
      <c r="BO27" s="579">
        <f t="shared" si="0"/>
        <v>12511.757095890413</v>
      </c>
      <c r="BP27" s="580"/>
      <c r="BQ27" s="580"/>
      <c r="BR27" s="580"/>
      <c r="BS27" s="580"/>
      <c r="BT27" s="580"/>
      <c r="BU27" s="580"/>
      <c r="BV27" s="581"/>
      <c r="BW27" s="582"/>
      <c r="BX27" s="582"/>
      <c r="BY27" s="582"/>
      <c r="BZ27" s="582"/>
      <c r="CA27" s="582"/>
      <c r="CB27" s="582"/>
      <c r="CC27" s="582"/>
      <c r="CD27" s="582"/>
      <c r="CE27" s="582"/>
      <c r="CF27" s="582"/>
      <c r="CG27" s="582"/>
      <c r="CH27" s="582"/>
      <c r="CI27" s="582"/>
      <c r="CJ27" s="582"/>
      <c r="CK27" s="582"/>
      <c r="CL27" s="582"/>
      <c r="CM27" s="582"/>
      <c r="CN27" s="582">
        <f t="shared" ref="CN27:CN45" si="5">400*24*AG27</f>
        <v>9600</v>
      </c>
      <c r="CO27" s="582"/>
      <c r="CP27" s="582"/>
      <c r="CQ27" s="582"/>
      <c r="CR27" s="582"/>
      <c r="CS27" s="582"/>
      <c r="CT27" s="582"/>
      <c r="CU27" s="582"/>
      <c r="CV27" s="583">
        <f t="shared" si="1"/>
        <v>115950.48389589041</v>
      </c>
      <c r="CW27" s="583"/>
      <c r="CX27" s="583"/>
      <c r="CY27" s="583"/>
      <c r="CZ27" s="583"/>
      <c r="DA27" s="583"/>
      <c r="DB27" s="583"/>
      <c r="DC27" s="583"/>
      <c r="DD27" s="583"/>
      <c r="DE27" s="584"/>
    </row>
    <row r="28" spans="1:125" s="2" customFormat="1" ht="23.25" customHeight="1">
      <c r="A28" s="597" t="s">
        <v>1163</v>
      </c>
      <c r="B28" s="598"/>
      <c r="C28" s="598"/>
      <c r="D28" s="598"/>
      <c r="E28" s="598"/>
      <c r="F28" s="598"/>
      <c r="G28" s="598"/>
      <c r="H28" s="598"/>
      <c r="I28" s="598"/>
      <c r="J28" s="598"/>
      <c r="K28" s="598"/>
      <c r="L28" s="598"/>
      <c r="M28" s="598"/>
      <c r="N28" s="598"/>
      <c r="O28" s="598"/>
      <c r="P28" s="557" t="s">
        <v>1161</v>
      </c>
      <c r="Q28" s="557"/>
      <c r="R28" s="557"/>
      <c r="S28" s="557"/>
      <c r="T28" s="557"/>
      <c r="U28" s="557"/>
      <c r="V28" s="557"/>
      <c r="W28" s="557"/>
      <c r="X28" s="557"/>
      <c r="Y28" s="557"/>
      <c r="Z28" s="557"/>
      <c r="AA28" s="557"/>
      <c r="AB28" s="557"/>
      <c r="AC28" s="557"/>
      <c r="AD28" s="558"/>
      <c r="AE28" s="558"/>
      <c r="AF28" s="558"/>
      <c r="AG28" s="559">
        <v>1</v>
      </c>
      <c r="AH28" s="559"/>
      <c r="AI28" s="559"/>
      <c r="AJ28" s="559"/>
      <c r="AK28" s="585">
        <f>296.54*30.41</f>
        <v>9017.7813999999998</v>
      </c>
      <c r="AL28" s="586"/>
      <c r="AM28" s="586"/>
      <c r="AN28" s="586"/>
      <c r="AO28" s="586"/>
      <c r="AP28" s="587"/>
      <c r="AQ28" s="583">
        <f t="shared" si="2"/>
        <v>108213.3768</v>
      </c>
      <c r="AR28" s="583"/>
      <c r="AS28" s="583"/>
      <c r="AT28" s="583"/>
      <c r="AU28" s="583"/>
      <c r="AV28" s="583"/>
      <c r="AW28" s="583"/>
      <c r="AX28" s="583"/>
      <c r="AY28" s="588"/>
      <c r="AZ28" s="589"/>
      <c r="BA28" s="589"/>
      <c r="BB28" s="589"/>
      <c r="BC28" s="589"/>
      <c r="BD28" s="589"/>
      <c r="BE28" s="589"/>
      <c r="BF28" s="590"/>
      <c r="BG28" s="582">
        <f>296.54*10</f>
        <v>2965.4</v>
      </c>
      <c r="BH28" s="582"/>
      <c r="BI28" s="582"/>
      <c r="BJ28" s="582"/>
      <c r="BK28" s="582"/>
      <c r="BL28" s="582"/>
      <c r="BM28" s="582"/>
      <c r="BN28" s="582"/>
      <c r="BO28" s="579">
        <f t="shared" si="0"/>
        <v>14823.75024657534</v>
      </c>
      <c r="BP28" s="580"/>
      <c r="BQ28" s="580"/>
      <c r="BR28" s="580"/>
      <c r="BS28" s="580"/>
      <c r="BT28" s="580"/>
      <c r="BU28" s="580"/>
      <c r="BV28" s="581"/>
      <c r="BW28" s="582"/>
      <c r="BX28" s="582"/>
      <c r="BY28" s="582"/>
      <c r="BZ28" s="582"/>
      <c r="CA28" s="582"/>
      <c r="CB28" s="582"/>
      <c r="CC28" s="582"/>
      <c r="CD28" s="582"/>
      <c r="CE28" s="582"/>
      <c r="CF28" s="582"/>
      <c r="CG28" s="582"/>
      <c r="CH28" s="582"/>
      <c r="CI28" s="582"/>
      <c r="CJ28" s="582"/>
      <c r="CK28" s="582"/>
      <c r="CL28" s="582"/>
      <c r="CM28" s="582"/>
      <c r="CN28" s="582">
        <f t="shared" si="5"/>
        <v>9600</v>
      </c>
      <c r="CO28" s="582"/>
      <c r="CP28" s="582"/>
      <c r="CQ28" s="582"/>
      <c r="CR28" s="582"/>
      <c r="CS28" s="582"/>
      <c r="CT28" s="582"/>
      <c r="CU28" s="582"/>
      <c r="CV28" s="583">
        <f t="shared" si="1"/>
        <v>135602.52704657533</v>
      </c>
      <c r="CW28" s="583"/>
      <c r="CX28" s="583"/>
      <c r="CY28" s="583"/>
      <c r="CZ28" s="583"/>
      <c r="DA28" s="583"/>
      <c r="DB28" s="583"/>
      <c r="DC28" s="583"/>
      <c r="DD28" s="583"/>
      <c r="DE28" s="584"/>
    </row>
    <row r="29" spans="1:125" s="2" customFormat="1" ht="23.25" customHeight="1">
      <c r="A29" s="554" t="s">
        <v>1164</v>
      </c>
      <c r="B29" s="555"/>
      <c r="C29" s="555"/>
      <c r="D29" s="555"/>
      <c r="E29" s="555"/>
      <c r="F29" s="555"/>
      <c r="G29" s="555"/>
      <c r="H29" s="555"/>
      <c r="I29" s="555"/>
      <c r="J29" s="555"/>
      <c r="K29" s="555"/>
      <c r="L29" s="555"/>
      <c r="M29" s="555"/>
      <c r="N29" s="555"/>
      <c r="O29" s="556"/>
      <c r="P29" s="557" t="s">
        <v>1161</v>
      </c>
      <c r="Q29" s="557"/>
      <c r="R29" s="557"/>
      <c r="S29" s="557"/>
      <c r="T29" s="557"/>
      <c r="U29" s="557"/>
      <c r="V29" s="557"/>
      <c r="W29" s="557"/>
      <c r="X29" s="557"/>
      <c r="Y29" s="557"/>
      <c r="Z29" s="557"/>
      <c r="AA29" s="557"/>
      <c r="AB29" s="557"/>
      <c r="AC29" s="557"/>
      <c r="AD29" s="558"/>
      <c r="AE29" s="558"/>
      <c r="AF29" s="558"/>
      <c r="AG29" s="559">
        <v>1</v>
      </c>
      <c r="AH29" s="559"/>
      <c r="AI29" s="559"/>
      <c r="AJ29" s="559"/>
      <c r="AK29" s="585">
        <f>296.54*30.41</f>
        <v>9017.7813999999998</v>
      </c>
      <c r="AL29" s="586"/>
      <c r="AM29" s="586"/>
      <c r="AN29" s="586"/>
      <c r="AO29" s="586"/>
      <c r="AP29" s="587"/>
      <c r="AQ29" s="583">
        <f t="shared" si="2"/>
        <v>108213.3768</v>
      </c>
      <c r="AR29" s="583"/>
      <c r="AS29" s="583"/>
      <c r="AT29" s="583"/>
      <c r="AU29" s="583"/>
      <c r="AV29" s="583"/>
      <c r="AW29" s="583"/>
      <c r="AX29" s="583"/>
      <c r="AY29" s="588"/>
      <c r="AZ29" s="589"/>
      <c r="BA29" s="589"/>
      <c r="BB29" s="589"/>
      <c r="BC29" s="589"/>
      <c r="BD29" s="589"/>
      <c r="BE29" s="589"/>
      <c r="BF29" s="590"/>
      <c r="BG29" s="582">
        <f>296.54*10</f>
        <v>2965.4</v>
      </c>
      <c r="BH29" s="582"/>
      <c r="BI29" s="582"/>
      <c r="BJ29" s="582"/>
      <c r="BK29" s="582"/>
      <c r="BL29" s="582"/>
      <c r="BM29" s="582"/>
      <c r="BN29" s="582"/>
      <c r="BO29" s="579">
        <f t="shared" si="0"/>
        <v>14823.75024657534</v>
      </c>
      <c r="BP29" s="580"/>
      <c r="BQ29" s="580"/>
      <c r="BR29" s="580"/>
      <c r="BS29" s="580"/>
      <c r="BT29" s="580"/>
      <c r="BU29" s="580"/>
      <c r="BV29" s="581"/>
      <c r="BW29" s="582"/>
      <c r="BX29" s="582"/>
      <c r="BY29" s="582"/>
      <c r="BZ29" s="582"/>
      <c r="CA29" s="582"/>
      <c r="CB29" s="582"/>
      <c r="CC29" s="582"/>
      <c r="CD29" s="582"/>
      <c r="CE29" s="582"/>
      <c r="CF29" s="582"/>
      <c r="CG29" s="582"/>
      <c r="CH29" s="582"/>
      <c r="CI29" s="582"/>
      <c r="CJ29" s="582"/>
      <c r="CK29" s="582"/>
      <c r="CL29" s="582"/>
      <c r="CM29" s="582"/>
      <c r="CN29" s="582">
        <f t="shared" si="5"/>
        <v>9600</v>
      </c>
      <c r="CO29" s="582"/>
      <c r="CP29" s="582"/>
      <c r="CQ29" s="582"/>
      <c r="CR29" s="582"/>
      <c r="CS29" s="582"/>
      <c r="CT29" s="582"/>
      <c r="CU29" s="582"/>
      <c r="CV29" s="583">
        <f t="shared" si="1"/>
        <v>135602.52704657533</v>
      </c>
      <c r="CW29" s="583"/>
      <c r="CX29" s="583"/>
      <c r="CY29" s="583"/>
      <c r="CZ29" s="583"/>
      <c r="DA29" s="583"/>
      <c r="DB29" s="583"/>
      <c r="DC29" s="583"/>
      <c r="DD29" s="583"/>
      <c r="DE29" s="584"/>
    </row>
    <row r="30" spans="1:125" s="2" customFormat="1" ht="23.25" customHeight="1">
      <c r="A30" s="554" t="s">
        <v>1165</v>
      </c>
      <c r="B30" s="555"/>
      <c r="C30" s="555"/>
      <c r="D30" s="555"/>
      <c r="E30" s="555"/>
      <c r="F30" s="555"/>
      <c r="G30" s="555"/>
      <c r="H30" s="555"/>
      <c r="I30" s="555"/>
      <c r="J30" s="555"/>
      <c r="K30" s="555"/>
      <c r="L30" s="555"/>
      <c r="M30" s="555"/>
      <c r="N30" s="555"/>
      <c r="O30" s="556"/>
      <c r="P30" s="557" t="s">
        <v>1161</v>
      </c>
      <c r="Q30" s="557"/>
      <c r="R30" s="557"/>
      <c r="S30" s="557"/>
      <c r="T30" s="557"/>
      <c r="U30" s="557"/>
      <c r="V30" s="557"/>
      <c r="W30" s="557"/>
      <c r="X30" s="557"/>
      <c r="Y30" s="557"/>
      <c r="Z30" s="557"/>
      <c r="AA30" s="557"/>
      <c r="AB30" s="557"/>
      <c r="AC30" s="557"/>
      <c r="AD30" s="558"/>
      <c r="AE30" s="558"/>
      <c r="AF30" s="558"/>
      <c r="AG30" s="559">
        <v>1</v>
      </c>
      <c r="AH30" s="559"/>
      <c r="AI30" s="559"/>
      <c r="AJ30" s="559"/>
      <c r="AK30" s="585">
        <f>296.54*30.41</f>
        <v>9017.7813999999998</v>
      </c>
      <c r="AL30" s="586"/>
      <c r="AM30" s="586"/>
      <c r="AN30" s="586"/>
      <c r="AO30" s="586"/>
      <c r="AP30" s="587"/>
      <c r="AQ30" s="583">
        <f t="shared" si="2"/>
        <v>108213.3768</v>
      </c>
      <c r="AR30" s="583"/>
      <c r="AS30" s="583"/>
      <c r="AT30" s="583"/>
      <c r="AU30" s="583"/>
      <c r="AV30" s="583"/>
      <c r="AW30" s="583"/>
      <c r="AX30" s="583"/>
      <c r="AY30" s="588"/>
      <c r="AZ30" s="589"/>
      <c r="BA30" s="589"/>
      <c r="BB30" s="589"/>
      <c r="BC30" s="589"/>
      <c r="BD30" s="589"/>
      <c r="BE30" s="589"/>
      <c r="BF30" s="590"/>
      <c r="BG30" s="582">
        <f>296.54*10</f>
        <v>2965.4</v>
      </c>
      <c r="BH30" s="582"/>
      <c r="BI30" s="582"/>
      <c r="BJ30" s="582"/>
      <c r="BK30" s="582"/>
      <c r="BL30" s="582"/>
      <c r="BM30" s="582"/>
      <c r="BN30" s="582"/>
      <c r="BO30" s="579">
        <f t="shared" si="0"/>
        <v>14823.75024657534</v>
      </c>
      <c r="BP30" s="580"/>
      <c r="BQ30" s="580"/>
      <c r="BR30" s="580"/>
      <c r="BS30" s="580"/>
      <c r="BT30" s="580"/>
      <c r="BU30" s="580"/>
      <c r="BV30" s="581"/>
      <c r="BW30" s="582"/>
      <c r="BX30" s="582"/>
      <c r="BY30" s="582"/>
      <c r="BZ30" s="582"/>
      <c r="CA30" s="582"/>
      <c r="CB30" s="582"/>
      <c r="CC30" s="582"/>
      <c r="CD30" s="582"/>
      <c r="CE30" s="582"/>
      <c r="CF30" s="582"/>
      <c r="CG30" s="582"/>
      <c r="CH30" s="582"/>
      <c r="CI30" s="582"/>
      <c r="CJ30" s="582"/>
      <c r="CK30" s="582"/>
      <c r="CL30" s="582"/>
      <c r="CM30" s="582"/>
      <c r="CN30" s="582">
        <f t="shared" si="5"/>
        <v>9600</v>
      </c>
      <c r="CO30" s="582"/>
      <c r="CP30" s="582"/>
      <c r="CQ30" s="582"/>
      <c r="CR30" s="582"/>
      <c r="CS30" s="582"/>
      <c r="CT30" s="582"/>
      <c r="CU30" s="582"/>
      <c r="CV30" s="583">
        <f t="shared" si="1"/>
        <v>135602.52704657533</v>
      </c>
      <c r="CW30" s="583"/>
      <c r="CX30" s="583"/>
      <c r="CY30" s="583"/>
      <c r="CZ30" s="583"/>
      <c r="DA30" s="583"/>
      <c r="DB30" s="583"/>
      <c r="DC30" s="583"/>
      <c r="DD30" s="583"/>
      <c r="DE30" s="584"/>
    </row>
    <row r="31" spans="1:125" s="2" customFormat="1" ht="23.25" customHeight="1">
      <c r="A31" s="554" t="s">
        <v>1166</v>
      </c>
      <c r="B31" s="555"/>
      <c r="C31" s="555"/>
      <c r="D31" s="555"/>
      <c r="E31" s="555"/>
      <c r="F31" s="555"/>
      <c r="G31" s="555"/>
      <c r="H31" s="555"/>
      <c r="I31" s="555"/>
      <c r="J31" s="555"/>
      <c r="K31" s="555"/>
      <c r="L31" s="555"/>
      <c r="M31" s="555"/>
      <c r="N31" s="555"/>
      <c r="O31" s="556"/>
      <c r="P31" s="557" t="s">
        <v>1161</v>
      </c>
      <c r="Q31" s="557"/>
      <c r="R31" s="557"/>
      <c r="S31" s="557"/>
      <c r="T31" s="557"/>
      <c r="U31" s="557"/>
      <c r="V31" s="557"/>
      <c r="W31" s="557"/>
      <c r="X31" s="557"/>
      <c r="Y31" s="557"/>
      <c r="Z31" s="557"/>
      <c r="AA31" s="557"/>
      <c r="AB31" s="557"/>
      <c r="AC31" s="557"/>
      <c r="AD31" s="558"/>
      <c r="AE31" s="558"/>
      <c r="AF31" s="558"/>
      <c r="AG31" s="559">
        <v>1</v>
      </c>
      <c r="AH31" s="559"/>
      <c r="AI31" s="559"/>
      <c r="AJ31" s="559"/>
      <c r="AK31" s="585">
        <f>250.29*30.41</f>
        <v>7611.3189000000002</v>
      </c>
      <c r="AL31" s="586"/>
      <c r="AM31" s="586"/>
      <c r="AN31" s="586"/>
      <c r="AO31" s="586"/>
      <c r="AP31" s="587"/>
      <c r="AQ31" s="583">
        <f t="shared" si="2"/>
        <v>91335.82680000001</v>
      </c>
      <c r="AR31" s="583"/>
      <c r="AS31" s="583"/>
      <c r="AT31" s="583"/>
      <c r="AU31" s="583"/>
      <c r="AV31" s="583"/>
      <c r="AW31" s="583"/>
      <c r="AX31" s="583"/>
      <c r="AY31" s="588"/>
      <c r="AZ31" s="589"/>
      <c r="BA31" s="589"/>
      <c r="BB31" s="589"/>
      <c r="BC31" s="589"/>
      <c r="BD31" s="589"/>
      <c r="BE31" s="589"/>
      <c r="BF31" s="590"/>
      <c r="BG31" s="582">
        <f>250.29*10</f>
        <v>2502.9</v>
      </c>
      <c r="BH31" s="582"/>
      <c r="BI31" s="582"/>
      <c r="BJ31" s="582"/>
      <c r="BK31" s="582"/>
      <c r="BL31" s="582"/>
      <c r="BM31" s="582"/>
      <c r="BN31" s="582"/>
      <c r="BO31" s="579">
        <f t="shared" si="0"/>
        <v>12511.757095890413</v>
      </c>
      <c r="BP31" s="580"/>
      <c r="BQ31" s="580"/>
      <c r="BR31" s="580"/>
      <c r="BS31" s="580"/>
      <c r="BT31" s="580"/>
      <c r="BU31" s="580"/>
      <c r="BV31" s="581"/>
      <c r="BW31" s="582"/>
      <c r="BX31" s="582"/>
      <c r="BY31" s="582"/>
      <c r="BZ31" s="582"/>
      <c r="CA31" s="582"/>
      <c r="CB31" s="582"/>
      <c r="CC31" s="582"/>
      <c r="CD31" s="582"/>
      <c r="CE31" s="582"/>
      <c r="CF31" s="582"/>
      <c r="CG31" s="582"/>
      <c r="CH31" s="582"/>
      <c r="CI31" s="582"/>
      <c r="CJ31" s="582"/>
      <c r="CK31" s="582"/>
      <c r="CL31" s="582"/>
      <c r="CM31" s="582"/>
      <c r="CN31" s="582">
        <f t="shared" si="5"/>
        <v>9600</v>
      </c>
      <c r="CO31" s="582"/>
      <c r="CP31" s="582"/>
      <c r="CQ31" s="582"/>
      <c r="CR31" s="582"/>
      <c r="CS31" s="582"/>
      <c r="CT31" s="582"/>
      <c r="CU31" s="582"/>
      <c r="CV31" s="583">
        <f t="shared" si="1"/>
        <v>115950.48389589041</v>
      </c>
      <c r="CW31" s="583"/>
      <c r="CX31" s="583"/>
      <c r="CY31" s="583"/>
      <c r="CZ31" s="583"/>
      <c r="DA31" s="583"/>
      <c r="DB31" s="583"/>
      <c r="DC31" s="583"/>
      <c r="DD31" s="583"/>
      <c r="DE31" s="584"/>
    </row>
    <row r="32" spans="1:125" s="2" customFormat="1" ht="23.25" customHeight="1">
      <c r="A32" s="554" t="s">
        <v>1167</v>
      </c>
      <c r="B32" s="555"/>
      <c r="C32" s="555"/>
      <c r="D32" s="555"/>
      <c r="E32" s="555"/>
      <c r="F32" s="555"/>
      <c r="G32" s="555"/>
      <c r="H32" s="555"/>
      <c r="I32" s="555"/>
      <c r="J32" s="555"/>
      <c r="K32" s="555"/>
      <c r="L32" s="555"/>
      <c r="M32" s="555"/>
      <c r="N32" s="555"/>
      <c r="O32" s="556"/>
      <c r="P32" s="557" t="s">
        <v>1161</v>
      </c>
      <c r="Q32" s="557"/>
      <c r="R32" s="557"/>
      <c r="S32" s="557"/>
      <c r="T32" s="557"/>
      <c r="U32" s="557"/>
      <c r="V32" s="557"/>
      <c r="W32" s="557"/>
      <c r="X32" s="557"/>
      <c r="Y32" s="557"/>
      <c r="Z32" s="557"/>
      <c r="AA32" s="557"/>
      <c r="AB32" s="557"/>
      <c r="AC32" s="557"/>
      <c r="AD32" s="558"/>
      <c r="AE32" s="558"/>
      <c r="AF32" s="558"/>
      <c r="AG32" s="559">
        <v>1</v>
      </c>
      <c r="AH32" s="559"/>
      <c r="AI32" s="559"/>
      <c r="AJ32" s="559"/>
      <c r="AK32" s="585">
        <f>296.54*30.41</f>
        <v>9017.7813999999998</v>
      </c>
      <c r="AL32" s="586"/>
      <c r="AM32" s="586"/>
      <c r="AN32" s="586"/>
      <c r="AO32" s="586"/>
      <c r="AP32" s="587"/>
      <c r="AQ32" s="583">
        <f>AG32*AK32*12</f>
        <v>108213.3768</v>
      </c>
      <c r="AR32" s="583"/>
      <c r="AS32" s="583"/>
      <c r="AT32" s="583"/>
      <c r="AU32" s="583"/>
      <c r="AV32" s="583"/>
      <c r="AW32" s="583"/>
      <c r="AX32" s="583"/>
      <c r="AY32" s="588"/>
      <c r="AZ32" s="589"/>
      <c r="BA32" s="589"/>
      <c r="BB32" s="589"/>
      <c r="BC32" s="589"/>
      <c r="BD32" s="589"/>
      <c r="BE32" s="589"/>
      <c r="BF32" s="590"/>
      <c r="BG32" s="582">
        <f>296.54*10</f>
        <v>2965.4</v>
      </c>
      <c r="BH32" s="582"/>
      <c r="BI32" s="582"/>
      <c r="BJ32" s="582"/>
      <c r="BK32" s="582"/>
      <c r="BL32" s="582"/>
      <c r="BM32" s="582"/>
      <c r="BN32" s="582"/>
      <c r="BO32" s="579">
        <f t="shared" si="0"/>
        <v>14823.75024657534</v>
      </c>
      <c r="BP32" s="580"/>
      <c r="BQ32" s="580"/>
      <c r="BR32" s="580"/>
      <c r="BS32" s="580"/>
      <c r="BT32" s="580"/>
      <c r="BU32" s="580"/>
      <c r="BV32" s="581"/>
      <c r="BW32" s="582"/>
      <c r="BX32" s="582"/>
      <c r="BY32" s="582"/>
      <c r="BZ32" s="582"/>
      <c r="CA32" s="582"/>
      <c r="CB32" s="582"/>
      <c r="CC32" s="582"/>
      <c r="CD32" s="582"/>
      <c r="CE32" s="582"/>
      <c r="CF32" s="582"/>
      <c r="CG32" s="582"/>
      <c r="CH32" s="582"/>
      <c r="CI32" s="582"/>
      <c r="CJ32" s="582"/>
      <c r="CK32" s="582"/>
      <c r="CL32" s="582"/>
      <c r="CM32" s="582"/>
      <c r="CN32" s="582">
        <f t="shared" si="5"/>
        <v>9600</v>
      </c>
      <c r="CO32" s="582"/>
      <c r="CP32" s="582"/>
      <c r="CQ32" s="582"/>
      <c r="CR32" s="582"/>
      <c r="CS32" s="582"/>
      <c r="CT32" s="582"/>
      <c r="CU32" s="582"/>
      <c r="CV32" s="583">
        <f>SUM(AQ32:CU32)</f>
        <v>135602.52704657533</v>
      </c>
      <c r="CW32" s="583"/>
      <c r="CX32" s="583"/>
      <c r="CY32" s="583"/>
      <c r="CZ32" s="583"/>
      <c r="DA32" s="583"/>
      <c r="DB32" s="583"/>
      <c r="DC32" s="583"/>
      <c r="DD32" s="583"/>
      <c r="DE32" s="584"/>
      <c r="DS32" s="46"/>
    </row>
    <row r="33" spans="1:109" s="2" customFormat="1" ht="23.25" customHeight="1">
      <c r="A33" s="554" t="s">
        <v>1168</v>
      </c>
      <c r="B33" s="555"/>
      <c r="C33" s="555"/>
      <c r="D33" s="555"/>
      <c r="E33" s="555"/>
      <c r="F33" s="555"/>
      <c r="G33" s="555"/>
      <c r="H33" s="555"/>
      <c r="I33" s="555"/>
      <c r="J33" s="555"/>
      <c r="K33" s="555"/>
      <c r="L33" s="555"/>
      <c r="M33" s="555"/>
      <c r="N33" s="555"/>
      <c r="O33" s="556"/>
      <c r="P33" s="600" t="s">
        <v>773</v>
      </c>
      <c r="Q33" s="601"/>
      <c r="R33" s="601"/>
      <c r="S33" s="601"/>
      <c r="T33" s="601"/>
      <c r="U33" s="601"/>
      <c r="V33" s="601"/>
      <c r="W33" s="601"/>
      <c r="X33" s="601"/>
      <c r="Y33" s="601"/>
      <c r="Z33" s="601"/>
      <c r="AA33" s="601"/>
      <c r="AB33" s="601"/>
      <c r="AC33" s="602"/>
      <c r="AD33" s="558"/>
      <c r="AE33" s="558"/>
      <c r="AF33" s="558"/>
      <c r="AG33" s="559">
        <v>1</v>
      </c>
      <c r="AH33" s="559"/>
      <c r="AI33" s="559"/>
      <c r="AJ33" s="559"/>
      <c r="AK33" s="585">
        <f>296.54*30.41</f>
        <v>9017.7813999999998</v>
      </c>
      <c r="AL33" s="586"/>
      <c r="AM33" s="586"/>
      <c r="AN33" s="586"/>
      <c r="AO33" s="586"/>
      <c r="AP33" s="587"/>
      <c r="AQ33" s="583">
        <f t="shared" si="2"/>
        <v>108213.3768</v>
      </c>
      <c r="AR33" s="583"/>
      <c r="AS33" s="583"/>
      <c r="AT33" s="583"/>
      <c r="AU33" s="583"/>
      <c r="AV33" s="583"/>
      <c r="AW33" s="583"/>
      <c r="AX33" s="583"/>
      <c r="AY33" s="588"/>
      <c r="AZ33" s="589"/>
      <c r="BA33" s="589"/>
      <c r="BB33" s="589"/>
      <c r="BC33" s="589"/>
      <c r="BD33" s="589"/>
      <c r="BE33" s="589"/>
      <c r="BF33" s="590"/>
      <c r="BG33" s="582">
        <f>296.54*10</f>
        <v>2965.4</v>
      </c>
      <c r="BH33" s="582"/>
      <c r="BI33" s="582"/>
      <c r="BJ33" s="582"/>
      <c r="BK33" s="582"/>
      <c r="BL33" s="582"/>
      <c r="BM33" s="582"/>
      <c r="BN33" s="582"/>
      <c r="BO33" s="579">
        <f t="shared" si="0"/>
        <v>14823.75024657534</v>
      </c>
      <c r="BP33" s="580"/>
      <c r="BQ33" s="580"/>
      <c r="BR33" s="580"/>
      <c r="BS33" s="580"/>
      <c r="BT33" s="580"/>
      <c r="BU33" s="580"/>
      <c r="BV33" s="581"/>
      <c r="BW33" s="582"/>
      <c r="BX33" s="582"/>
      <c r="BY33" s="582"/>
      <c r="BZ33" s="582"/>
      <c r="CA33" s="582"/>
      <c r="CB33" s="582"/>
      <c r="CC33" s="582"/>
      <c r="CD33" s="582"/>
      <c r="CE33" s="582"/>
      <c r="CF33" s="582"/>
      <c r="CG33" s="582"/>
      <c r="CH33" s="582"/>
      <c r="CI33" s="582"/>
      <c r="CJ33" s="582"/>
      <c r="CK33" s="582"/>
      <c r="CL33" s="582"/>
      <c r="CM33" s="582"/>
      <c r="CN33" s="582">
        <f t="shared" si="5"/>
        <v>9600</v>
      </c>
      <c r="CO33" s="582"/>
      <c r="CP33" s="582"/>
      <c r="CQ33" s="582"/>
      <c r="CR33" s="582"/>
      <c r="CS33" s="582"/>
      <c r="CT33" s="582"/>
      <c r="CU33" s="582"/>
      <c r="CV33" s="583">
        <f t="shared" si="1"/>
        <v>135602.52704657533</v>
      </c>
      <c r="CW33" s="583"/>
      <c r="CX33" s="583"/>
      <c r="CY33" s="583"/>
      <c r="CZ33" s="583"/>
      <c r="DA33" s="583"/>
      <c r="DB33" s="583"/>
      <c r="DC33" s="583"/>
      <c r="DD33" s="583"/>
      <c r="DE33" s="584"/>
    </row>
    <row r="34" spans="1:109" s="2" customFormat="1" ht="23.25" customHeight="1">
      <c r="A34" s="554" t="s">
        <v>1169</v>
      </c>
      <c r="B34" s="555"/>
      <c r="C34" s="555"/>
      <c r="D34" s="555"/>
      <c r="E34" s="555"/>
      <c r="F34" s="555"/>
      <c r="G34" s="555"/>
      <c r="H34" s="555"/>
      <c r="I34" s="555"/>
      <c r="J34" s="555"/>
      <c r="K34" s="555"/>
      <c r="L34" s="555"/>
      <c r="M34" s="555"/>
      <c r="N34" s="555"/>
      <c r="O34" s="556"/>
      <c r="P34" s="600" t="s">
        <v>773</v>
      </c>
      <c r="Q34" s="601"/>
      <c r="R34" s="601"/>
      <c r="S34" s="601"/>
      <c r="T34" s="601"/>
      <c r="U34" s="601"/>
      <c r="V34" s="601"/>
      <c r="W34" s="601"/>
      <c r="X34" s="601"/>
      <c r="Y34" s="601"/>
      <c r="Z34" s="601"/>
      <c r="AA34" s="601"/>
      <c r="AB34" s="601"/>
      <c r="AC34" s="602"/>
      <c r="AD34" s="558"/>
      <c r="AE34" s="558"/>
      <c r="AF34" s="558"/>
      <c r="AG34" s="559">
        <v>1</v>
      </c>
      <c r="AH34" s="559"/>
      <c r="AI34" s="559"/>
      <c r="AJ34" s="559"/>
      <c r="AK34" s="585">
        <f>296.54*30.41</f>
        <v>9017.7813999999998</v>
      </c>
      <c r="AL34" s="586"/>
      <c r="AM34" s="586"/>
      <c r="AN34" s="586"/>
      <c r="AO34" s="586"/>
      <c r="AP34" s="587"/>
      <c r="AQ34" s="583">
        <f t="shared" si="2"/>
        <v>108213.3768</v>
      </c>
      <c r="AR34" s="583"/>
      <c r="AS34" s="583"/>
      <c r="AT34" s="583"/>
      <c r="AU34" s="583"/>
      <c r="AV34" s="583"/>
      <c r="AW34" s="583"/>
      <c r="AX34" s="583"/>
      <c r="AY34" s="588"/>
      <c r="AZ34" s="589"/>
      <c r="BA34" s="589"/>
      <c r="BB34" s="589"/>
      <c r="BC34" s="589"/>
      <c r="BD34" s="589"/>
      <c r="BE34" s="589"/>
      <c r="BF34" s="590"/>
      <c r="BG34" s="582">
        <f>296.54*10</f>
        <v>2965.4</v>
      </c>
      <c r="BH34" s="582"/>
      <c r="BI34" s="582"/>
      <c r="BJ34" s="582"/>
      <c r="BK34" s="582"/>
      <c r="BL34" s="582"/>
      <c r="BM34" s="582"/>
      <c r="BN34" s="582"/>
      <c r="BO34" s="579">
        <f t="shared" si="0"/>
        <v>14823.75024657534</v>
      </c>
      <c r="BP34" s="580"/>
      <c r="BQ34" s="580"/>
      <c r="BR34" s="580"/>
      <c r="BS34" s="580"/>
      <c r="BT34" s="580"/>
      <c r="BU34" s="580"/>
      <c r="BV34" s="581"/>
      <c r="BW34" s="582"/>
      <c r="BX34" s="582"/>
      <c r="BY34" s="582"/>
      <c r="BZ34" s="582"/>
      <c r="CA34" s="582"/>
      <c r="CB34" s="582"/>
      <c r="CC34" s="582"/>
      <c r="CD34" s="582"/>
      <c r="CE34" s="582"/>
      <c r="CF34" s="582"/>
      <c r="CG34" s="582"/>
      <c r="CH34" s="582"/>
      <c r="CI34" s="582"/>
      <c r="CJ34" s="582"/>
      <c r="CK34" s="582"/>
      <c r="CL34" s="582"/>
      <c r="CM34" s="582"/>
      <c r="CN34" s="582">
        <f t="shared" si="5"/>
        <v>9600</v>
      </c>
      <c r="CO34" s="582"/>
      <c r="CP34" s="582"/>
      <c r="CQ34" s="582"/>
      <c r="CR34" s="582"/>
      <c r="CS34" s="582"/>
      <c r="CT34" s="582"/>
      <c r="CU34" s="582"/>
      <c r="CV34" s="583">
        <f t="shared" si="1"/>
        <v>135602.52704657533</v>
      </c>
      <c r="CW34" s="583"/>
      <c r="CX34" s="583"/>
      <c r="CY34" s="583"/>
      <c r="CZ34" s="583"/>
      <c r="DA34" s="583"/>
      <c r="DB34" s="583"/>
      <c r="DC34" s="583"/>
      <c r="DD34" s="583"/>
      <c r="DE34" s="584"/>
    </row>
    <row r="35" spans="1:109" s="2" customFormat="1" ht="23.25" customHeight="1">
      <c r="A35" s="554" t="s">
        <v>1170</v>
      </c>
      <c r="B35" s="555"/>
      <c r="C35" s="555"/>
      <c r="D35" s="555"/>
      <c r="E35" s="555"/>
      <c r="F35" s="555"/>
      <c r="G35" s="555"/>
      <c r="H35" s="555"/>
      <c r="I35" s="555"/>
      <c r="J35" s="555"/>
      <c r="K35" s="555"/>
      <c r="L35" s="555"/>
      <c r="M35" s="555"/>
      <c r="N35" s="555"/>
      <c r="O35" s="556"/>
      <c r="P35" s="600" t="s">
        <v>1171</v>
      </c>
      <c r="Q35" s="601"/>
      <c r="R35" s="601"/>
      <c r="S35" s="601"/>
      <c r="T35" s="601"/>
      <c r="U35" s="601"/>
      <c r="V35" s="601"/>
      <c r="W35" s="601"/>
      <c r="X35" s="601"/>
      <c r="Y35" s="601"/>
      <c r="Z35" s="601"/>
      <c r="AA35" s="601"/>
      <c r="AB35" s="601"/>
      <c r="AC35" s="602"/>
      <c r="AD35" s="558"/>
      <c r="AE35" s="558"/>
      <c r="AF35" s="558"/>
      <c r="AG35" s="559">
        <v>1</v>
      </c>
      <c r="AH35" s="559"/>
      <c r="AI35" s="559"/>
      <c r="AJ35" s="559"/>
      <c r="AK35" s="585">
        <f>296.54*30.41</f>
        <v>9017.7813999999998</v>
      </c>
      <c r="AL35" s="586"/>
      <c r="AM35" s="586"/>
      <c r="AN35" s="586"/>
      <c r="AO35" s="586"/>
      <c r="AP35" s="587"/>
      <c r="AQ35" s="579">
        <f t="shared" si="2"/>
        <v>108213.3768</v>
      </c>
      <c r="AR35" s="580"/>
      <c r="AS35" s="580"/>
      <c r="AT35" s="580"/>
      <c r="AU35" s="580"/>
      <c r="AV35" s="580"/>
      <c r="AW35" s="580"/>
      <c r="AX35" s="581"/>
      <c r="AY35" s="588"/>
      <c r="AZ35" s="589"/>
      <c r="BA35" s="589"/>
      <c r="BB35" s="589"/>
      <c r="BC35" s="589"/>
      <c r="BD35" s="589"/>
      <c r="BE35" s="589"/>
      <c r="BF35" s="590"/>
      <c r="BG35" s="588">
        <f>296.54*10</f>
        <v>2965.4</v>
      </c>
      <c r="BH35" s="589"/>
      <c r="BI35" s="589"/>
      <c r="BJ35" s="589"/>
      <c r="BK35" s="589"/>
      <c r="BL35" s="589"/>
      <c r="BM35" s="589"/>
      <c r="BN35" s="590"/>
      <c r="BO35" s="579">
        <f t="shared" si="0"/>
        <v>14823.75024657534</v>
      </c>
      <c r="BP35" s="580"/>
      <c r="BQ35" s="580"/>
      <c r="BR35" s="580"/>
      <c r="BS35" s="580"/>
      <c r="BT35" s="580"/>
      <c r="BU35" s="580"/>
      <c r="BV35" s="581"/>
      <c r="BW35" s="588"/>
      <c r="BX35" s="589"/>
      <c r="BY35" s="589"/>
      <c r="BZ35" s="589"/>
      <c r="CA35" s="589"/>
      <c r="CB35" s="589"/>
      <c r="CC35" s="589"/>
      <c r="CD35" s="590"/>
      <c r="CE35" s="588"/>
      <c r="CF35" s="589"/>
      <c r="CG35" s="589"/>
      <c r="CH35" s="589"/>
      <c r="CI35" s="589"/>
      <c r="CJ35" s="589"/>
      <c r="CK35" s="589"/>
      <c r="CL35" s="589"/>
      <c r="CM35" s="590"/>
      <c r="CN35" s="582">
        <f t="shared" si="5"/>
        <v>9600</v>
      </c>
      <c r="CO35" s="582"/>
      <c r="CP35" s="582"/>
      <c r="CQ35" s="582"/>
      <c r="CR35" s="582"/>
      <c r="CS35" s="582"/>
      <c r="CT35" s="582"/>
      <c r="CU35" s="582"/>
      <c r="CV35" s="579">
        <f t="shared" si="1"/>
        <v>135602.52704657533</v>
      </c>
      <c r="CW35" s="580"/>
      <c r="CX35" s="580"/>
      <c r="CY35" s="580"/>
      <c r="CZ35" s="580"/>
      <c r="DA35" s="580"/>
      <c r="DB35" s="580"/>
      <c r="DC35" s="580"/>
      <c r="DD35" s="580"/>
      <c r="DE35" s="603"/>
    </row>
    <row r="36" spans="1:109" s="2" customFormat="1" ht="23.25" customHeight="1">
      <c r="A36" s="554" t="s">
        <v>1159</v>
      </c>
      <c r="B36" s="555"/>
      <c r="C36" s="555"/>
      <c r="D36" s="555"/>
      <c r="E36" s="555"/>
      <c r="F36" s="555"/>
      <c r="G36" s="555"/>
      <c r="H36" s="555"/>
      <c r="I36" s="555"/>
      <c r="J36" s="555"/>
      <c r="K36" s="555"/>
      <c r="L36" s="555"/>
      <c r="M36" s="555"/>
      <c r="N36" s="555"/>
      <c r="O36" s="556"/>
      <c r="P36" s="600" t="s">
        <v>1171</v>
      </c>
      <c r="Q36" s="601"/>
      <c r="R36" s="601"/>
      <c r="S36" s="601"/>
      <c r="T36" s="601"/>
      <c r="U36" s="601"/>
      <c r="V36" s="601"/>
      <c r="W36" s="601"/>
      <c r="X36" s="601"/>
      <c r="Y36" s="601"/>
      <c r="Z36" s="601"/>
      <c r="AA36" s="601"/>
      <c r="AB36" s="601"/>
      <c r="AC36" s="602"/>
      <c r="AD36" s="558"/>
      <c r="AE36" s="558"/>
      <c r="AF36" s="558"/>
      <c r="AG36" s="559">
        <v>1</v>
      </c>
      <c r="AH36" s="559"/>
      <c r="AI36" s="559"/>
      <c r="AJ36" s="559"/>
      <c r="AK36" s="585">
        <f>250.29*30.41</f>
        <v>7611.3189000000002</v>
      </c>
      <c r="AL36" s="586"/>
      <c r="AM36" s="586"/>
      <c r="AN36" s="586"/>
      <c r="AO36" s="586"/>
      <c r="AP36" s="587"/>
      <c r="AQ36" s="583">
        <f t="shared" si="2"/>
        <v>91335.82680000001</v>
      </c>
      <c r="AR36" s="583"/>
      <c r="AS36" s="583"/>
      <c r="AT36" s="583"/>
      <c r="AU36" s="583"/>
      <c r="AV36" s="583"/>
      <c r="AW36" s="583"/>
      <c r="AX36" s="583"/>
      <c r="AY36" s="588"/>
      <c r="AZ36" s="589"/>
      <c r="BA36" s="589"/>
      <c r="BB36" s="589"/>
      <c r="BC36" s="589"/>
      <c r="BD36" s="589"/>
      <c r="BE36" s="589"/>
      <c r="BF36" s="590"/>
      <c r="BG36" s="588">
        <f>250.29*10</f>
        <v>2502.9</v>
      </c>
      <c r="BH36" s="589"/>
      <c r="BI36" s="589"/>
      <c r="BJ36" s="589"/>
      <c r="BK36" s="589"/>
      <c r="BL36" s="589"/>
      <c r="BM36" s="589"/>
      <c r="BN36" s="590"/>
      <c r="BO36" s="579">
        <f t="shared" si="0"/>
        <v>12511.757095890413</v>
      </c>
      <c r="BP36" s="580"/>
      <c r="BQ36" s="580"/>
      <c r="BR36" s="580"/>
      <c r="BS36" s="580"/>
      <c r="BT36" s="580"/>
      <c r="BU36" s="580"/>
      <c r="BV36" s="581"/>
      <c r="BW36" s="582"/>
      <c r="BX36" s="582"/>
      <c r="BY36" s="582"/>
      <c r="BZ36" s="582"/>
      <c r="CA36" s="582"/>
      <c r="CB36" s="582"/>
      <c r="CC36" s="582"/>
      <c r="CD36" s="582"/>
      <c r="CE36" s="582"/>
      <c r="CF36" s="582"/>
      <c r="CG36" s="582"/>
      <c r="CH36" s="582"/>
      <c r="CI36" s="582"/>
      <c r="CJ36" s="582"/>
      <c r="CK36" s="582"/>
      <c r="CL36" s="582"/>
      <c r="CM36" s="582"/>
      <c r="CN36" s="582">
        <f t="shared" si="5"/>
        <v>9600</v>
      </c>
      <c r="CO36" s="582"/>
      <c r="CP36" s="582"/>
      <c r="CQ36" s="582"/>
      <c r="CR36" s="582"/>
      <c r="CS36" s="582"/>
      <c r="CT36" s="582"/>
      <c r="CU36" s="582"/>
      <c r="CV36" s="583">
        <f t="shared" si="1"/>
        <v>115950.48389589041</v>
      </c>
      <c r="CW36" s="583"/>
      <c r="CX36" s="583"/>
      <c r="CY36" s="583"/>
      <c r="CZ36" s="583"/>
      <c r="DA36" s="583"/>
      <c r="DB36" s="583"/>
      <c r="DC36" s="583"/>
      <c r="DD36" s="583"/>
      <c r="DE36" s="584"/>
    </row>
    <row r="37" spans="1:109" s="2" customFormat="1" ht="23.25" customHeight="1">
      <c r="A37" s="554" t="s">
        <v>1172</v>
      </c>
      <c r="B37" s="555"/>
      <c r="C37" s="555"/>
      <c r="D37" s="555"/>
      <c r="E37" s="555"/>
      <c r="F37" s="555"/>
      <c r="G37" s="555"/>
      <c r="H37" s="555"/>
      <c r="I37" s="555"/>
      <c r="J37" s="555"/>
      <c r="K37" s="555"/>
      <c r="L37" s="555"/>
      <c r="M37" s="555"/>
      <c r="N37" s="555"/>
      <c r="O37" s="556"/>
      <c r="P37" s="600" t="s">
        <v>1173</v>
      </c>
      <c r="Q37" s="601"/>
      <c r="R37" s="601"/>
      <c r="S37" s="601"/>
      <c r="T37" s="601"/>
      <c r="U37" s="601"/>
      <c r="V37" s="601"/>
      <c r="W37" s="601"/>
      <c r="X37" s="601"/>
      <c r="Y37" s="601"/>
      <c r="Z37" s="601"/>
      <c r="AA37" s="601"/>
      <c r="AB37" s="601"/>
      <c r="AC37" s="602"/>
      <c r="AD37" s="558"/>
      <c r="AE37" s="558"/>
      <c r="AF37" s="558"/>
      <c r="AG37" s="559">
        <v>1</v>
      </c>
      <c r="AH37" s="559"/>
      <c r="AI37" s="559"/>
      <c r="AJ37" s="559"/>
      <c r="AK37" s="585">
        <f>296.54*30.41</f>
        <v>9017.7813999999998</v>
      </c>
      <c r="AL37" s="586"/>
      <c r="AM37" s="586"/>
      <c r="AN37" s="586"/>
      <c r="AO37" s="586"/>
      <c r="AP37" s="587"/>
      <c r="AQ37" s="583">
        <f t="shared" si="2"/>
        <v>108213.3768</v>
      </c>
      <c r="AR37" s="583"/>
      <c r="AS37" s="583"/>
      <c r="AT37" s="583"/>
      <c r="AU37" s="583"/>
      <c r="AV37" s="583"/>
      <c r="AW37" s="583"/>
      <c r="AX37" s="583"/>
      <c r="AY37" s="588"/>
      <c r="AZ37" s="589"/>
      <c r="BA37" s="589"/>
      <c r="BB37" s="589"/>
      <c r="BC37" s="589"/>
      <c r="BD37" s="589"/>
      <c r="BE37" s="589"/>
      <c r="BF37" s="590"/>
      <c r="BG37" s="582">
        <f>296.54*10</f>
        <v>2965.4</v>
      </c>
      <c r="BH37" s="582"/>
      <c r="BI37" s="582"/>
      <c r="BJ37" s="582"/>
      <c r="BK37" s="582"/>
      <c r="BL37" s="582"/>
      <c r="BM37" s="582"/>
      <c r="BN37" s="582"/>
      <c r="BO37" s="579">
        <f t="shared" si="0"/>
        <v>14823.75024657534</v>
      </c>
      <c r="BP37" s="580"/>
      <c r="BQ37" s="580"/>
      <c r="BR37" s="580"/>
      <c r="BS37" s="580"/>
      <c r="BT37" s="580"/>
      <c r="BU37" s="580"/>
      <c r="BV37" s="581"/>
      <c r="BW37" s="582"/>
      <c r="BX37" s="582"/>
      <c r="BY37" s="582"/>
      <c r="BZ37" s="582"/>
      <c r="CA37" s="582"/>
      <c r="CB37" s="582"/>
      <c r="CC37" s="582"/>
      <c r="CD37" s="582"/>
      <c r="CE37" s="582"/>
      <c r="CF37" s="582"/>
      <c r="CG37" s="582"/>
      <c r="CH37" s="582"/>
      <c r="CI37" s="582"/>
      <c r="CJ37" s="582"/>
      <c r="CK37" s="582"/>
      <c r="CL37" s="582"/>
      <c r="CM37" s="582"/>
      <c r="CN37" s="582">
        <f t="shared" si="5"/>
        <v>9600</v>
      </c>
      <c r="CO37" s="582"/>
      <c r="CP37" s="582"/>
      <c r="CQ37" s="582"/>
      <c r="CR37" s="582"/>
      <c r="CS37" s="582"/>
      <c r="CT37" s="582"/>
      <c r="CU37" s="582"/>
      <c r="CV37" s="583">
        <f t="shared" si="1"/>
        <v>135602.52704657533</v>
      </c>
      <c r="CW37" s="583"/>
      <c r="CX37" s="583"/>
      <c r="CY37" s="583"/>
      <c r="CZ37" s="583"/>
      <c r="DA37" s="583"/>
      <c r="DB37" s="583"/>
      <c r="DC37" s="583"/>
      <c r="DD37" s="583"/>
      <c r="DE37" s="584"/>
    </row>
    <row r="38" spans="1:109" s="2" customFormat="1" ht="23.25" customHeight="1">
      <c r="A38" s="554" t="s">
        <v>1150</v>
      </c>
      <c r="B38" s="555"/>
      <c r="C38" s="555"/>
      <c r="D38" s="555"/>
      <c r="E38" s="555"/>
      <c r="F38" s="555"/>
      <c r="G38" s="555"/>
      <c r="H38" s="555"/>
      <c r="I38" s="555"/>
      <c r="J38" s="555"/>
      <c r="K38" s="555"/>
      <c r="L38" s="555"/>
      <c r="M38" s="555"/>
      <c r="N38" s="555"/>
      <c r="O38" s="556"/>
      <c r="P38" s="600" t="s">
        <v>1173</v>
      </c>
      <c r="Q38" s="601"/>
      <c r="R38" s="601"/>
      <c r="S38" s="601"/>
      <c r="T38" s="601"/>
      <c r="U38" s="601"/>
      <c r="V38" s="601"/>
      <c r="W38" s="601"/>
      <c r="X38" s="601"/>
      <c r="Y38" s="601"/>
      <c r="Z38" s="601"/>
      <c r="AA38" s="601"/>
      <c r="AB38" s="601"/>
      <c r="AC38" s="602"/>
      <c r="AD38" s="558"/>
      <c r="AE38" s="558"/>
      <c r="AF38" s="558"/>
      <c r="AG38" s="559">
        <v>1</v>
      </c>
      <c r="AH38" s="559"/>
      <c r="AI38" s="559"/>
      <c r="AJ38" s="559"/>
      <c r="AK38" s="585">
        <f>296.54*30.41</f>
        <v>9017.7813999999998</v>
      </c>
      <c r="AL38" s="586"/>
      <c r="AM38" s="586"/>
      <c r="AN38" s="586"/>
      <c r="AO38" s="586"/>
      <c r="AP38" s="587"/>
      <c r="AQ38" s="583">
        <f t="shared" si="2"/>
        <v>108213.3768</v>
      </c>
      <c r="AR38" s="583"/>
      <c r="AS38" s="583"/>
      <c r="AT38" s="583"/>
      <c r="AU38" s="583"/>
      <c r="AV38" s="583"/>
      <c r="AW38" s="583"/>
      <c r="AX38" s="583"/>
      <c r="AY38" s="588"/>
      <c r="AZ38" s="589"/>
      <c r="BA38" s="589"/>
      <c r="BB38" s="589"/>
      <c r="BC38" s="589"/>
      <c r="BD38" s="589"/>
      <c r="BE38" s="589"/>
      <c r="BF38" s="590"/>
      <c r="BG38" s="582">
        <f>296.54*10</f>
        <v>2965.4</v>
      </c>
      <c r="BH38" s="582"/>
      <c r="BI38" s="582"/>
      <c r="BJ38" s="582"/>
      <c r="BK38" s="582"/>
      <c r="BL38" s="582"/>
      <c r="BM38" s="582"/>
      <c r="BN38" s="582"/>
      <c r="BO38" s="579">
        <f t="shared" si="0"/>
        <v>14823.75024657534</v>
      </c>
      <c r="BP38" s="580"/>
      <c r="BQ38" s="580"/>
      <c r="BR38" s="580"/>
      <c r="BS38" s="580"/>
      <c r="BT38" s="580"/>
      <c r="BU38" s="580"/>
      <c r="BV38" s="581"/>
      <c r="BW38" s="582"/>
      <c r="BX38" s="582"/>
      <c r="BY38" s="582"/>
      <c r="BZ38" s="582"/>
      <c r="CA38" s="582"/>
      <c r="CB38" s="582"/>
      <c r="CC38" s="582"/>
      <c r="CD38" s="582"/>
      <c r="CE38" s="582"/>
      <c r="CF38" s="582"/>
      <c r="CG38" s="582"/>
      <c r="CH38" s="582"/>
      <c r="CI38" s="582"/>
      <c r="CJ38" s="582"/>
      <c r="CK38" s="582"/>
      <c r="CL38" s="582"/>
      <c r="CM38" s="582"/>
      <c r="CN38" s="582">
        <f t="shared" si="5"/>
        <v>9600</v>
      </c>
      <c r="CO38" s="582"/>
      <c r="CP38" s="582"/>
      <c r="CQ38" s="582"/>
      <c r="CR38" s="582"/>
      <c r="CS38" s="582"/>
      <c r="CT38" s="582"/>
      <c r="CU38" s="582"/>
      <c r="CV38" s="583">
        <f t="shared" si="1"/>
        <v>135602.52704657533</v>
      </c>
      <c r="CW38" s="583"/>
      <c r="CX38" s="583"/>
      <c r="CY38" s="583"/>
      <c r="CZ38" s="583"/>
      <c r="DA38" s="583"/>
      <c r="DB38" s="583"/>
      <c r="DC38" s="583"/>
      <c r="DD38" s="583"/>
      <c r="DE38" s="584"/>
    </row>
    <row r="39" spans="1:109" s="2" customFormat="1" ht="23.25" customHeight="1">
      <c r="A39" s="554" t="s">
        <v>1174</v>
      </c>
      <c r="B39" s="555"/>
      <c r="C39" s="555"/>
      <c r="D39" s="555"/>
      <c r="E39" s="555"/>
      <c r="F39" s="555"/>
      <c r="G39" s="555"/>
      <c r="H39" s="555"/>
      <c r="I39" s="555"/>
      <c r="J39" s="555"/>
      <c r="K39" s="555"/>
      <c r="L39" s="555"/>
      <c r="M39" s="555"/>
      <c r="N39" s="555"/>
      <c r="O39" s="556"/>
      <c r="P39" s="600" t="s">
        <v>1175</v>
      </c>
      <c r="Q39" s="601"/>
      <c r="R39" s="601"/>
      <c r="S39" s="601"/>
      <c r="T39" s="601"/>
      <c r="U39" s="601"/>
      <c r="V39" s="601"/>
      <c r="W39" s="601"/>
      <c r="X39" s="601"/>
      <c r="Y39" s="601"/>
      <c r="Z39" s="601"/>
      <c r="AA39" s="601"/>
      <c r="AB39" s="601"/>
      <c r="AC39" s="602"/>
      <c r="AD39" s="558"/>
      <c r="AE39" s="558"/>
      <c r="AF39" s="558"/>
      <c r="AG39" s="559">
        <v>1</v>
      </c>
      <c r="AH39" s="559"/>
      <c r="AI39" s="559"/>
      <c r="AJ39" s="559"/>
      <c r="AK39" s="585">
        <f>296.54*30.41</f>
        <v>9017.7813999999998</v>
      </c>
      <c r="AL39" s="586"/>
      <c r="AM39" s="586"/>
      <c r="AN39" s="586"/>
      <c r="AO39" s="586"/>
      <c r="AP39" s="587"/>
      <c r="AQ39" s="583">
        <f t="shared" si="2"/>
        <v>108213.3768</v>
      </c>
      <c r="AR39" s="583"/>
      <c r="AS39" s="583"/>
      <c r="AT39" s="583"/>
      <c r="AU39" s="583"/>
      <c r="AV39" s="583"/>
      <c r="AW39" s="583"/>
      <c r="AX39" s="583"/>
      <c r="AY39" s="588"/>
      <c r="AZ39" s="589"/>
      <c r="BA39" s="589"/>
      <c r="BB39" s="589"/>
      <c r="BC39" s="589"/>
      <c r="BD39" s="589"/>
      <c r="BE39" s="589"/>
      <c r="BF39" s="590"/>
      <c r="BG39" s="582">
        <f>296.54*10</f>
        <v>2965.4</v>
      </c>
      <c r="BH39" s="582"/>
      <c r="BI39" s="582"/>
      <c r="BJ39" s="582"/>
      <c r="BK39" s="582"/>
      <c r="BL39" s="582"/>
      <c r="BM39" s="582"/>
      <c r="BN39" s="582"/>
      <c r="BO39" s="579">
        <f t="shared" si="0"/>
        <v>14823.75024657534</v>
      </c>
      <c r="BP39" s="580"/>
      <c r="BQ39" s="580"/>
      <c r="BR39" s="580"/>
      <c r="BS39" s="580"/>
      <c r="BT39" s="580"/>
      <c r="BU39" s="580"/>
      <c r="BV39" s="581"/>
      <c r="BW39" s="582"/>
      <c r="BX39" s="582"/>
      <c r="BY39" s="582"/>
      <c r="BZ39" s="582"/>
      <c r="CA39" s="582"/>
      <c r="CB39" s="582"/>
      <c r="CC39" s="582"/>
      <c r="CD39" s="582"/>
      <c r="CE39" s="582"/>
      <c r="CF39" s="582"/>
      <c r="CG39" s="582"/>
      <c r="CH39" s="582"/>
      <c r="CI39" s="582"/>
      <c r="CJ39" s="582"/>
      <c r="CK39" s="582"/>
      <c r="CL39" s="582"/>
      <c r="CM39" s="582"/>
      <c r="CN39" s="582">
        <f t="shared" si="5"/>
        <v>9600</v>
      </c>
      <c r="CO39" s="582"/>
      <c r="CP39" s="582"/>
      <c r="CQ39" s="582"/>
      <c r="CR39" s="582"/>
      <c r="CS39" s="582"/>
      <c r="CT39" s="582"/>
      <c r="CU39" s="582"/>
      <c r="CV39" s="583">
        <f t="shared" si="1"/>
        <v>135602.52704657533</v>
      </c>
      <c r="CW39" s="583"/>
      <c r="CX39" s="583"/>
      <c r="CY39" s="583"/>
      <c r="CZ39" s="583"/>
      <c r="DA39" s="583"/>
      <c r="DB39" s="583"/>
      <c r="DC39" s="583"/>
      <c r="DD39" s="583"/>
      <c r="DE39" s="584"/>
    </row>
    <row r="40" spans="1:109" s="2" customFormat="1" ht="23.25" customHeight="1">
      <c r="A40" s="554" t="s">
        <v>1176</v>
      </c>
      <c r="B40" s="555"/>
      <c r="C40" s="555"/>
      <c r="D40" s="555"/>
      <c r="E40" s="555"/>
      <c r="F40" s="555"/>
      <c r="G40" s="555"/>
      <c r="H40" s="555"/>
      <c r="I40" s="555"/>
      <c r="J40" s="555"/>
      <c r="K40" s="555"/>
      <c r="L40" s="555"/>
      <c r="M40" s="555"/>
      <c r="N40" s="555"/>
      <c r="O40" s="556"/>
      <c r="P40" s="557" t="s">
        <v>1177</v>
      </c>
      <c r="Q40" s="557"/>
      <c r="R40" s="557"/>
      <c r="S40" s="557"/>
      <c r="T40" s="557"/>
      <c r="U40" s="557"/>
      <c r="V40" s="557"/>
      <c r="W40" s="557"/>
      <c r="X40" s="557"/>
      <c r="Y40" s="557"/>
      <c r="Z40" s="557"/>
      <c r="AA40" s="557"/>
      <c r="AB40" s="557"/>
      <c r="AC40" s="557"/>
      <c r="AD40" s="558"/>
      <c r="AE40" s="558"/>
      <c r="AF40" s="558"/>
      <c r="AG40" s="559">
        <v>1</v>
      </c>
      <c r="AH40" s="559"/>
      <c r="AI40" s="559"/>
      <c r="AJ40" s="559"/>
      <c r="AK40" s="585">
        <f>296.54*30.41</f>
        <v>9017.7813999999998</v>
      </c>
      <c r="AL40" s="586"/>
      <c r="AM40" s="586"/>
      <c r="AN40" s="586"/>
      <c r="AO40" s="586"/>
      <c r="AP40" s="587"/>
      <c r="AQ40" s="583">
        <f t="shared" si="2"/>
        <v>108213.3768</v>
      </c>
      <c r="AR40" s="583"/>
      <c r="AS40" s="583"/>
      <c r="AT40" s="583"/>
      <c r="AU40" s="583"/>
      <c r="AV40" s="583"/>
      <c r="AW40" s="583"/>
      <c r="AX40" s="583"/>
      <c r="AY40" s="588"/>
      <c r="AZ40" s="589"/>
      <c r="BA40" s="589"/>
      <c r="BB40" s="589"/>
      <c r="BC40" s="589"/>
      <c r="BD40" s="589"/>
      <c r="BE40" s="589"/>
      <c r="BF40" s="590"/>
      <c r="BG40" s="582">
        <f>296.54*10</f>
        <v>2965.4</v>
      </c>
      <c r="BH40" s="582"/>
      <c r="BI40" s="582"/>
      <c r="BJ40" s="582"/>
      <c r="BK40" s="582"/>
      <c r="BL40" s="582"/>
      <c r="BM40" s="582"/>
      <c r="BN40" s="582"/>
      <c r="BO40" s="579">
        <f t="shared" si="0"/>
        <v>14823.75024657534</v>
      </c>
      <c r="BP40" s="580"/>
      <c r="BQ40" s="580"/>
      <c r="BR40" s="580"/>
      <c r="BS40" s="580"/>
      <c r="BT40" s="580"/>
      <c r="BU40" s="580"/>
      <c r="BV40" s="581"/>
      <c r="BW40" s="582"/>
      <c r="BX40" s="582"/>
      <c r="BY40" s="582"/>
      <c r="BZ40" s="582"/>
      <c r="CA40" s="582"/>
      <c r="CB40" s="582"/>
      <c r="CC40" s="582"/>
      <c r="CD40" s="582"/>
      <c r="CE40" s="582"/>
      <c r="CF40" s="582"/>
      <c r="CG40" s="582"/>
      <c r="CH40" s="582"/>
      <c r="CI40" s="582"/>
      <c r="CJ40" s="582"/>
      <c r="CK40" s="582"/>
      <c r="CL40" s="582"/>
      <c r="CM40" s="582"/>
      <c r="CN40" s="582">
        <f t="shared" si="5"/>
        <v>9600</v>
      </c>
      <c r="CO40" s="582"/>
      <c r="CP40" s="582"/>
      <c r="CQ40" s="582"/>
      <c r="CR40" s="582"/>
      <c r="CS40" s="582"/>
      <c r="CT40" s="582"/>
      <c r="CU40" s="582"/>
      <c r="CV40" s="583">
        <f t="shared" si="1"/>
        <v>135602.52704657533</v>
      </c>
      <c r="CW40" s="583"/>
      <c r="CX40" s="583"/>
      <c r="CY40" s="583"/>
      <c r="CZ40" s="583"/>
      <c r="DA40" s="583"/>
      <c r="DB40" s="583"/>
      <c r="DC40" s="583"/>
      <c r="DD40" s="583"/>
      <c r="DE40" s="584"/>
    </row>
    <row r="41" spans="1:109" s="2" customFormat="1" ht="23.25" customHeight="1">
      <c r="A41" s="554" t="s">
        <v>1178</v>
      </c>
      <c r="B41" s="555"/>
      <c r="C41" s="555"/>
      <c r="D41" s="555"/>
      <c r="E41" s="555"/>
      <c r="F41" s="555"/>
      <c r="G41" s="555"/>
      <c r="H41" s="555"/>
      <c r="I41" s="555"/>
      <c r="J41" s="555"/>
      <c r="K41" s="555"/>
      <c r="L41" s="555"/>
      <c r="M41" s="555"/>
      <c r="N41" s="555"/>
      <c r="O41" s="556"/>
      <c r="P41" s="557" t="s">
        <v>1177</v>
      </c>
      <c r="Q41" s="557"/>
      <c r="R41" s="557"/>
      <c r="S41" s="557"/>
      <c r="T41" s="557"/>
      <c r="U41" s="557"/>
      <c r="V41" s="557"/>
      <c r="W41" s="557"/>
      <c r="X41" s="557"/>
      <c r="Y41" s="557"/>
      <c r="Z41" s="557"/>
      <c r="AA41" s="557"/>
      <c r="AB41" s="557"/>
      <c r="AC41" s="557"/>
      <c r="AD41" s="558"/>
      <c r="AE41" s="558"/>
      <c r="AF41" s="558"/>
      <c r="AG41" s="559">
        <v>1</v>
      </c>
      <c r="AH41" s="559"/>
      <c r="AI41" s="559"/>
      <c r="AJ41" s="559"/>
      <c r="AK41" s="585">
        <f>250.29*30.41</f>
        <v>7611.3189000000002</v>
      </c>
      <c r="AL41" s="586"/>
      <c r="AM41" s="586"/>
      <c r="AN41" s="586"/>
      <c r="AO41" s="586"/>
      <c r="AP41" s="587"/>
      <c r="AQ41" s="583">
        <f t="shared" si="2"/>
        <v>91335.82680000001</v>
      </c>
      <c r="AR41" s="583"/>
      <c r="AS41" s="583"/>
      <c r="AT41" s="583"/>
      <c r="AU41" s="583"/>
      <c r="AV41" s="583"/>
      <c r="AW41" s="583"/>
      <c r="AX41" s="583"/>
      <c r="AY41" s="588"/>
      <c r="AZ41" s="589"/>
      <c r="BA41" s="589"/>
      <c r="BB41" s="589"/>
      <c r="BC41" s="589"/>
      <c r="BD41" s="589"/>
      <c r="BE41" s="589"/>
      <c r="BF41" s="590"/>
      <c r="BG41" s="582">
        <f>250.29*10</f>
        <v>2502.9</v>
      </c>
      <c r="BH41" s="582"/>
      <c r="BI41" s="582"/>
      <c r="BJ41" s="582"/>
      <c r="BK41" s="582"/>
      <c r="BL41" s="582"/>
      <c r="BM41" s="582"/>
      <c r="BN41" s="582"/>
      <c r="BO41" s="579">
        <f t="shared" si="0"/>
        <v>12511.757095890413</v>
      </c>
      <c r="BP41" s="580"/>
      <c r="BQ41" s="580"/>
      <c r="BR41" s="580"/>
      <c r="BS41" s="580"/>
      <c r="BT41" s="580"/>
      <c r="BU41" s="580"/>
      <c r="BV41" s="581"/>
      <c r="BW41" s="582"/>
      <c r="BX41" s="582"/>
      <c r="BY41" s="582"/>
      <c r="BZ41" s="582"/>
      <c r="CA41" s="582"/>
      <c r="CB41" s="582"/>
      <c r="CC41" s="582"/>
      <c r="CD41" s="582"/>
      <c r="CE41" s="582"/>
      <c r="CF41" s="582"/>
      <c r="CG41" s="582"/>
      <c r="CH41" s="582"/>
      <c r="CI41" s="582"/>
      <c r="CJ41" s="582"/>
      <c r="CK41" s="582"/>
      <c r="CL41" s="582"/>
      <c r="CM41" s="582"/>
      <c r="CN41" s="582">
        <f t="shared" si="5"/>
        <v>9600</v>
      </c>
      <c r="CO41" s="582"/>
      <c r="CP41" s="582"/>
      <c r="CQ41" s="582"/>
      <c r="CR41" s="582"/>
      <c r="CS41" s="582"/>
      <c r="CT41" s="582"/>
      <c r="CU41" s="582"/>
      <c r="CV41" s="583">
        <f t="shared" si="1"/>
        <v>115950.48389589041</v>
      </c>
      <c r="CW41" s="583"/>
      <c r="CX41" s="583"/>
      <c r="CY41" s="583"/>
      <c r="CZ41" s="583"/>
      <c r="DA41" s="583"/>
      <c r="DB41" s="583"/>
      <c r="DC41" s="583"/>
      <c r="DD41" s="583"/>
      <c r="DE41" s="584"/>
    </row>
    <row r="42" spans="1:109" s="2" customFormat="1" ht="23.25" customHeight="1">
      <c r="A42" s="554" t="s">
        <v>1179</v>
      </c>
      <c r="B42" s="555"/>
      <c r="C42" s="555"/>
      <c r="D42" s="555"/>
      <c r="E42" s="555"/>
      <c r="F42" s="555"/>
      <c r="G42" s="555"/>
      <c r="H42" s="555"/>
      <c r="I42" s="555"/>
      <c r="J42" s="555"/>
      <c r="K42" s="555"/>
      <c r="L42" s="555"/>
      <c r="M42" s="555"/>
      <c r="N42" s="555"/>
      <c r="O42" s="556"/>
      <c r="P42" s="557" t="s">
        <v>1180</v>
      </c>
      <c r="Q42" s="557"/>
      <c r="R42" s="557"/>
      <c r="S42" s="557"/>
      <c r="T42" s="557"/>
      <c r="U42" s="557"/>
      <c r="V42" s="557"/>
      <c r="W42" s="557"/>
      <c r="X42" s="557"/>
      <c r="Y42" s="557"/>
      <c r="Z42" s="557"/>
      <c r="AA42" s="557"/>
      <c r="AB42" s="557"/>
      <c r="AC42" s="557"/>
      <c r="AD42" s="558"/>
      <c r="AE42" s="558"/>
      <c r="AF42" s="558"/>
      <c r="AG42" s="559">
        <v>1</v>
      </c>
      <c r="AH42" s="559"/>
      <c r="AI42" s="559"/>
      <c r="AJ42" s="559"/>
      <c r="AK42" s="585">
        <f>296.54*30.41</f>
        <v>9017.7813999999998</v>
      </c>
      <c r="AL42" s="586"/>
      <c r="AM42" s="586"/>
      <c r="AN42" s="586"/>
      <c r="AO42" s="586"/>
      <c r="AP42" s="587"/>
      <c r="AQ42" s="583">
        <f t="shared" si="2"/>
        <v>108213.3768</v>
      </c>
      <c r="AR42" s="583"/>
      <c r="AS42" s="583"/>
      <c r="AT42" s="583"/>
      <c r="AU42" s="583"/>
      <c r="AV42" s="583"/>
      <c r="AW42" s="583"/>
      <c r="AX42" s="583"/>
      <c r="AY42" s="588"/>
      <c r="AZ42" s="589"/>
      <c r="BA42" s="589"/>
      <c r="BB42" s="589"/>
      <c r="BC42" s="589"/>
      <c r="BD42" s="589"/>
      <c r="BE42" s="589"/>
      <c r="BF42" s="590"/>
      <c r="BG42" s="582">
        <f>296.54*10</f>
        <v>2965.4</v>
      </c>
      <c r="BH42" s="582"/>
      <c r="BI42" s="582"/>
      <c r="BJ42" s="582"/>
      <c r="BK42" s="582"/>
      <c r="BL42" s="582"/>
      <c r="BM42" s="582"/>
      <c r="BN42" s="582"/>
      <c r="BO42" s="579">
        <f t="shared" si="0"/>
        <v>14823.75024657534</v>
      </c>
      <c r="BP42" s="580"/>
      <c r="BQ42" s="580"/>
      <c r="BR42" s="580"/>
      <c r="BS42" s="580"/>
      <c r="BT42" s="580"/>
      <c r="BU42" s="580"/>
      <c r="BV42" s="581"/>
      <c r="BW42" s="582"/>
      <c r="BX42" s="582"/>
      <c r="BY42" s="582"/>
      <c r="BZ42" s="582"/>
      <c r="CA42" s="582"/>
      <c r="CB42" s="582"/>
      <c r="CC42" s="582"/>
      <c r="CD42" s="582"/>
      <c r="CE42" s="582"/>
      <c r="CF42" s="582"/>
      <c r="CG42" s="582"/>
      <c r="CH42" s="582"/>
      <c r="CI42" s="582"/>
      <c r="CJ42" s="582"/>
      <c r="CK42" s="582"/>
      <c r="CL42" s="582"/>
      <c r="CM42" s="582"/>
      <c r="CN42" s="582">
        <f t="shared" si="5"/>
        <v>9600</v>
      </c>
      <c r="CO42" s="582"/>
      <c r="CP42" s="582"/>
      <c r="CQ42" s="582"/>
      <c r="CR42" s="582"/>
      <c r="CS42" s="582"/>
      <c r="CT42" s="582"/>
      <c r="CU42" s="582"/>
      <c r="CV42" s="583">
        <f t="shared" si="1"/>
        <v>135602.52704657533</v>
      </c>
      <c r="CW42" s="583"/>
      <c r="CX42" s="583"/>
      <c r="CY42" s="583"/>
      <c r="CZ42" s="583"/>
      <c r="DA42" s="583"/>
      <c r="DB42" s="583"/>
      <c r="DC42" s="583"/>
      <c r="DD42" s="583"/>
      <c r="DE42" s="584"/>
    </row>
    <row r="43" spans="1:109" s="2" customFormat="1" ht="23.25" customHeight="1">
      <c r="A43" s="554" t="s">
        <v>1143</v>
      </c>
      <c r="B43" s="555"/>
      <c r="C43" s="555"/>
      <c r="D43" s="555"/>
      <c r="E43" s="555"/>
      <c r="F43" s="555"/>
      <c r="G43" s="555"/>
      <c r="H43" s="555"/>
      <c r="I43" s="555"/>
      <c r="J43" s="555"/>
      <c r="K43" s="555"/>
      <c r="L43" s="555"/>
      <c r="M43" s="555"/>
      <c r="N43" s="555"/>
      <c r="O43" s="556"/>
      <c r="P43" s="557" t="s">
        <v>1180</v>
      </c>
      <c r="Q43" s="557"/>
      <c r="R43" s="557"/>
      <c r="S43" s="557"/>
      <c r="T43" s="557"/>
      <c r="U43" s="557"/>
      <c r="V43" s="557"/>
      <c r="W43" s="557"/>
      <c r="X43" s="557"/>
      <c r="Y43" s="557"/>
      <c r="Z43" s="557"/>
      <c r="AA43" s="557"/>
      <c r="AB43" s="557"/>
      <c r="AC43" s="557"/>
      <c r="AD43" s="558"/>
      <c r="AE43" s="558"/>
      <c r="AF43" s="558"/>
      <c r="AG43" s="559">
        <v>1</v>
      </c>
      <c r="AH43" s="559"/>
      <c r="AI43" s="559"/>
      <c r="AJ43" s="559"/>
      <c r="AK43" s="585">
        <f>250.29*30.41</f>
        <v>7611.3189000000002</v>
      </c>
      <c r="AL43" s="586"/>
      <c r="AM43" s="586"/>
      <c r="AN43" s="586"/>
      <c r="AO43" s="586"/>
      <c r="AP43" s="587"/>
      <c r="AQ43" s="583">
        <f t="shared" si="2"/>
        <v>91335.82680000001</v>
      </c>
      <c r="AR43" s="583"/>
      <c r="AS43" s="583"/>
      <c r="AT43" s="583"/>
      <c r="AU43" s="583"/>
      <c r="AV43" s="583"/>
      <c r="AW43" s="583"/>
      <c r="AX43" s="583"/>
      <c r="AY43" s="588"/>
      <c r="AZ43" s="589"/>
      <c r="BA43" s="589"/>
      <c r="BB43" s="589"/>
      <c r="BC43" s="589"/>
      <c r="BD43" s="589"/>
      <c r="BE43" s="589"/>
      <c r="BF43" s="590"/>
      <c r="BG43" s="582">
        <f>250.29*10</f>
        <v>2502.9</v>
      </c>
      <c r="BH43" s="582"/>
      <c r="BI43" s="582"/>
      <c r="BJ43" s="582"/>
      <c r="BK43" s="582"/>
      <c r="BL43" s="582"/>
      <c r="BM43" s="582"/>
      <c r="BN43" s="582"/>
      <c r="BO43" s="579">
        <f t="shared" si="0"/>
        <v>12511.757095890413</v>
      </c>
      <c r="BP43" s="580"/>
      <c r="BQ43" s="580"/>
      <c r="BR43" s="580"/>
      <c r="BS43" s="580"/>
      <c r="BT43" s="580"/>
      <c r="BU43" s="580"/>
      <c r="BV43" s="581"/>
      <c r="BW43" s="582"/>
      <c r="BX43" s="582"/>
      <c r="BY43" s="582"/>
      <c r="BZ43" s="582"/>
      <c r="CA43" s="582"/>
      <c r="CB43" s="582"/>
      <c r="CC43" s="582"/>
      <c r="CD43" s="582"/>
      <c r="CE43" s="582"/>
      <c r="CF43" s="582"/>
      <c r="CG43" s="582"/>
      <c r="CH43" s="582"/>
      <c r="CI43" s="582"/>
      <c r="CJ43" s="582"/>
      <c r="CK43" s="582"/>
      <c r="CL43" s="582"/>
      <c r="CM43" s="582"/>
      <c r="CN43" s="582">
        <f t="shared" si="5"/>
        <v>9600</v>
      </c>
      <c r="CO43" s="582"/>
      <c r="CP43" s="582"/>
      <c r="CQ43" s="582"/>
      <c r="CR43" s="582"/>
      <c r="CS43" s="582"/>
      <c r="CT43" s="582"/>
      <c r="CU43" s="582"/>
      <c r="CV43" s="583">
        <f t="shared" si="1"/>
        <v>115950.48389589041</v>
      </c>
      <c r="CW43" s="583"/>
      <c r="CX43" s="583"/>
      <c r="CY43" s="583"/>
      <c r="CZ43" s="583"/>
      <c r="DA43" s="583"/>
      <c r="DB43" s="583"/>
      <c r="DC43" s="583"/>
      <c r="DD43" s="583"/>
      <c r="DE43" s="584"/>
    </row>
    <row r="44" spans="1:109" s="2" customFormat="1" ht="23.25" customHeight="1">
      <c r="A44" s="554" t="s">
        <v>1181</v>
      </c>
      <c r="B44" s="555"/>
      <c r="C44" s="555"/>
      <c r="D44" s="555"/>
      <c r="E44" s="555"/>
      <c r="F44" s="555"/>
      <c r="G44" s="555"/>
      <c r="H44" s="555"/>
      <c r="I44" s="555"/>
      <c r="J44" s="555"/>
      <c r="K44" s="555"/>
      <c r="L44" s="555"/>
      <c r="M44" s="555"/>
      <c r="N44" s="555"/>
      <c r="O44" s="556"/>
      <c r="P44" s="557" t="s">
        <v>1180</v>
      </c>
      <c r="Q44" s="557"/>
      <c r="R44" s="557"/>
      <c r="S44" s="557"/>
      <c r="T44" s="557"/>
      <c r="U44" s="557"/>
      <c r="V44" s="557"/>
      <c r="W44" s="557"/>
      <c r="X44" s="557"/>
      <c r="Y44" s="557"/>
      <c r="Z44" s="557"/>
      <c r="AA44" s="557"/>
      <c r="AB44" s="557"/>
      <c r="AC44" s="557"/>
      <c r="AD44" s="558"/>
      <c r="AE44" s="558"/>
      <c r="AF44" s="558"/>
      <c r="AG44" s="559">
        <v>3</v>
      </c>
      <c r="AH44" s="559"/>
      <c r="AI44" s="559"/>
      <c r="AJ44" s="559"/>
      <c r="AK44" s="585">
        <f>250.19*30.41</f>
        <v>7608.2779</v>
      </c>
      <c r="AL44" s="586"/>
      <c r="AM44" s="586"/>
      <c r="AN44" s="586"/>
      <c r="AO44" s="586"/>
      <c r="AP44" s="587"/>
      <c r="AQ44" s="583">
        <f t="shared" si="2"/>
        <v>273898.00439999998</v>
      </c>
      <c r="AR44" s="583"/>
      <c r="AS44" s="583"/>
      <c r="AT44" s="583"/>
      <c r="AU44" s="583"/>
      <c r="AV44" s="583"/>
      <c r="AW44" s="583"/>
      <c r="AX44" s="583"/>
      <c r="AY44" s="588"/>
      <c r="AZ44" s="589"/>
      <c r="BA44" s="589"/>
      <c r="BB44" s="589"/>
      <c r="BC44" s="589"/>
      <c r="BD44" s="589"/>
      <c r="BE44" s="589"/>
      <c r="BF44" s="590"/>
      <c r="BG44" s="582">
        <f>250.29*10</f>
        <v>2502.9</v>
      </c>
      <c r="BH44" s="582"/>
      <c r="BI44" s="582"/>
      <c r="BJ44" s="582"/>
      <c r="BK44" s="582"/>
      <c r="BL44" s="582"/>
      <c r="BM44" s="582"/>
      <c r="BN44" s="582"/>
      <c r="BO44" s="579">
        <f t="shared" si="0"/>
        <v>37520.274575342461</v>
      </c>
      <c r="BP44" s="580"/>
      <c r="BQ44" s="580"/>
      <c r="BR44" s="580"/>
      <c r="BS44" s="580"/>
      <c r="BT44" s="580"/>
      <c r="BU44" s="580"/>
      <c r="BV44" s="581"/>
      <c r="BW44" s="582"/>
      <c r="BX44" s="582"/>
      <c r="BY44" s="582"/>
      <c r="BZ44" s="582"/>
      <c r="CA44" s="582"/>
      <c r="CB44" s="582"/>
      <c r="CC44" s="582"/>
      <c r="CD44" s="582"/>
      <c r="CE44" s="582"/>
      <c r="CF44" s="582"/>
      <c r="CG44" s="582"/>
      <c r="CH44" s="582"/>
      <c r="CI44" s="582"/>
      <c r="CJ44" s="582"/>
      <c r="CK44" s="582"/>
      <c r="CL44" s="582"/>
      <c r="CM44" s="582"/>
      <c r="CN44" s="582">
        <f t="shared" si="5"/>
        <v>28800</v>
      </c>
      <c r="CO44" s="582"/>
      <c r="CP44" s="582"/>
      <c r="CQ44" s="582"/>
      <c r="CR44" s="582"/>
      <c r="CS44" s="582"/>
      <c r="CT44" s="582"/>
      <c r="CU44" s="582"/>
      <c r="CV44" s="583">
        <f t="shared" si="1"/>
        <v>342721.17897534248</v>
      </c>
      <c r="CW44" s="583"/>
      <c r="CX44" s="583"/>
      <c r="CY44" s="583"/>
      <c r="CZ44" s="583"/>
      <c r="DA44" s="583"/>
      <c r="DB44" s="583"/>
      <c r="DC44" s="583"/>
      <c r="DD44" s="583"/>
      <c r="DE44" s="584"/>
    </row>
    <row r="45" spans="1:109" s="2" customFormat="1" ht="23.25" customHeight="1">
      <c r="A45" s="554" t="s">
        <v>1182</v>
      </c>
      <c r="B45" s="555"/>
      <c r="C45" s="555"/>
      <c r="D45" s="555"/>
      <c r="E45" s="555"/>
      <c r="F45" s="555"/>
      <c r="G45" s="555"/>
      <c r="H45" s="555"/>
      <c r="I45" s="555"/>
      <c r="J45" s="555"/>
      <c r="K45" s="555"/>
      <c r="L45" s="555"/>
      <c r="M45" s="555"/>
      <c r="N45" s="555"/>
      <c r="O45" s="556"/>
      <c r="P45" s="557" t="s">
        <v>1180</v>
      </c>
      <c r="Q45" s="557"/>
      <c r="R45" s="557"/>
      <c r="S45" s="557"/>
      <c r="T45" s="557"/>
      <c r="U45" s="557"/>
      <c r="V45" s="557"/>
      <c r="W45" s="557"/>
      <c r="X45" s="557"/>
      <c r="Y45" s="557"/>
      <c r="Z45" s="557"/>
      <c r="AA45" s="557"/>
      <c r="AB45" s="557"/>
      <c r="AC45" s="557"/>
      <c r="AD45" s="558"/>
      <c r="AE45" s="558"/>
      <c r="AF45" s="558"/>
      <c r="AG45" s="559">
        <v>1</v>
      </c>
      <c r="AH45" s="559"/>
      <c r="AI45" s="559"/>
      <c r="AJ45" s="559"/>
      <c r="AK45" s="585">
        <f>209.19*30.41</f>
        <v>6361.4678999999996</v>
      </c>
      <c r="AL45" s="586"/>
      <c r="AM45" s="586"/>
      <c r="AN45" s="586"/>
      <c r="AO45" s="586"/>
      <c r="AP45" s="587"/>
      <c r="AQ45" s="583">
        <f t="shared" si="2"/>
        <v>76337.614799999996</v>
      </c>
      <c r="AR45" s="583"/>
      <c r="AS45" s="583"/>
      <c r="AT45" s="583"/>
      <c r="AU45" s="583"/>
      <c r="AV45" s="583"/>
      <c r="AW45" s="583"/>
      <c r="AX45" s="583"/>
      <c r="AY45" s="588"/>
      <c r="AZ45" s="589"/>
      <c r="BA45" s="589"/>
      <c r="BB45" s="589"/>
      <c r="BC45" s="589"/>
      <c r="BD45" s="589"/>
      <c r="BE45" s="589"/>
      <c r="BF45" s="590"/>
      <c r="BG45" s="582">
        <f>209.19*10</f>
        <v>2091.9</v>
      </c>
      <c r="BH45" s="582"/>
      <c r="BI45" s="582"/>
      <c r="BJ45" s="582"/>
      <c r="BK45" s="582"/>
      <c r="BL45" s="582"/>
      <c r="BM45" s="582"/>
      <c r="BN45" s="582"/>
      <c r="BO45" s="579">
        <f t="shared" si="0"/>
        <v>10457.207506849314</v>
      </c>
      <c r="BP45" s="580"/>
      <c r="BQ45" s="580"/>
      <c r="BR45" s="580"/>
      <c r="BS45" s="580"/>
      <c r="BT45" s="580"/>
      <c r="BU45" s="580"/>
      <c r="BV45" s="581"/>
      <c r="BW45" s="582"/>
      <c r="BX45" s="582"/>
      <c r="BY45" s="582"/>
      <c r="BZ45" s="582"/>
      <c r="CA45" s="582"/>
      <c r="CB45" s="582"/>
      <c r="CC45" s="582"/>
      <c r="CD45" s="582"/>
      <c r="CE45" s="582"/>
      <c r="CF45" s="582"/>
      <c r="CG45" s="582"/>
      <c r="CH45" s="582"/>
      <c r="CI45" s="582"/>
      <c r="CJ45" s="582"/>
      <c r="CK45" s="582"/>
      <c r="CL45" s="582"/>
      <c r="CM45" s="582"/>
      <c r="CN45" s="582">
        <f t="shared" si="5"/>
        <v>9600</v>
      </c>
      <c r="CO45" s="582"/>
      <c r="CP45" s="582"/>
      <c r="CQ45" s="582"/>
      <c r="CR45" s="582"/>
      <c r="CS45" s="582"/>
      <c r="CT45" s="582"/>
      <c r="CU45" s="582"/>
      <c r="CV45" s="583">
        <f t="shared" si="1"/>
        <v>98486.722306849304</v>
      </c>
      <c r="CW45" s="583"/>
      <c r="CX45" s="583"/>
      <c r="CY45" s="583"/>
      <c r="CZ45" s="583"/>
      <c r="DA45" s="583"/>
      <c r="DB45" s="583"/>
      <c r="DC45" s="583"/>
      <c r="DD45" s="583"/>
      <c r="DE45" s="584"/>
    </row>
    <row r="46" spans="1:109" s="2" customFormat="1" ht="23.25" customHeight="1">
      <c r="A46" s="554" t="s">
        <v>1183</v>
      </c>
      <c r="B46" s="555"/>
      <c r="C46" s="555"/>
      <c r="D46" s="555"/>
      <c r="E46" s="555"/>
      <c r="F46" s="555"/>
      <c r="G46" s="555"/>
      <c r="H46" s="555"/>
      <c r="I46" s="555"/>
      <c r="J46" s="555"/>
      <c r="K46" s="555"/>
      <c r="L46" s="555"/>
      <c r="M46" s="555"/>
      <c r="N46" s="555"/>
      <c r="O46" s="556"/>
      <c r="P46" s="557" t="s">
        <v>1184</v>
      </c>
      <c r="Q46" s="557"/>
      <c r="R46" s="557"/>
      <c r="S46" s="557"/>
      <c r="T46" s="557"/>
      <c r="U46" s="557"/>
      <c r="V46" s="557"/>
      <c r="W46" s="557"/>
      <c r="X46" s="557"/>
      <c r="Y46" s="557"/>
      <c r="Z46" s="557"/>
      <c r="AA46" s="557"/>
      <c r="AB46" s="557"/>
      <c r="AC46" s="557"/>
      <c r="AD46" s="558"/>
      <c r="AE46" s="558"/>
      <c r="AF46" s="558"/>
      <c r="AG46" s="559">
        <v>1</v>
      </c>
      <c r="AH46" s="559"/>
      <c r="AI46" s="559"/>
      <c r="AJ46" s="559"/>
      <c r="AK46" s="585">
        <f>594.67*30.41</f>
        <v>18083.914699999998</v>
      </c>
      <c r="AL46" s="586"/>
      <c r="AM46" s="586"/>
      <c r="AN46" s="586"/>
      <c r="AO46" s="586"/>
      <c r="AP46" s="587"/>
      <c r="AQ46" s="583">
        <f t="shared" si="2"/>
        <v>217006.97639999999</v>
      </c>
      <c r="AR46" s="583"/>
      <c r="AS46" s="583"/>
      <c r="AT46" s="583"/>
      <c r="AU46" s="583"/>
      <c r="AV46" s="583"/>
      <c r="AW46" s="583"/>
      <c r="AX46" s="583"/>
      <c r="AY46" s="588"/>
      <c r="AZ46" s="589"/>
      <c r="BA46" s="589"/>
      <c r="BB46" s="589"/>
      <c r="BC46" s="589"/>
      <c r="BD46" s="589"/>
      <c r="BE46" s="589"/>
      <c r="BF46" s="590"/>
      <c r="BG46" s="582">
        <f>594.67*10</f>
        <v>5946.7</v>
      </c>
      <c r="BH46" s="582"/>
      <c r="BI46" s="582"/>
      <c r="BJ46" s="582"/>
      <c r="BK46" s="582"/>
      <c r="BL46" s="582"/>
      <c r="BM46" s="582"/>
      <c r="BN46" s="582"/>
      <c r="BO46" s="579">
        <f t="shared" si="0"/>
        <v>29726.983068493148</v>
      </c>
      <c r="BP46" s="580"/>
      <c r="BQ46" s="580"/>
      <c r="BR46" s="580"/>
      <c r="BS46" s="580"/>
      <c r="BT46" s="580"/>
      <c r="BU46" s="580"/>
      <c r="BV46" s="581"/>
      <c r="BW46" s="582"/>
      <c r="BX46" s="582"/>
      <c r="BY46" s="582"/>
      <c r="BZ46" s="582"/>
      <c r="CA46" s="582"/>
      <c r="CB46" s="582"/>
      <c r="CC46" s="582"/>
      <c r="CD46" s="582"/>
      <c r="CE46" s="582"/>
      <c r="CF46" s="582"/>
      <c r="CG46" s="582"/>
      <c r="CH46" s="582"/>
      <c r="CI46" s="582"/>
      <c r="CJ46" s="582"/>
      <c r="CK46" s="582"/>
      <c r="CL46" s="582"/>
      <c r="CM46" s="582"/>
      <c r="CN46" s="582"/>
      <c r="CO46" s="582"/>
      <c r="CP46" s="582"/>
      <c r="CQ46" s="582"/>
      <c r="CR46" s="582"/>
      <c r="CS46" s="582"/>
      <c r="CT46" s="582"/>
      <c r="CU46" s="582"/>
      <c r="CV46" s="583">
        <f t="shared" si="1"/>
        <v>252680.65946849313</v>
      </c>
      <c r="CW46" s="583"/>
      <c r="CX46" s="583"/>
      <c r="CY46" s="583"/>
      <c r="CZ46" s="583"/>
      <c r="DA46" s="583"/>
      <c r="DB46" s="583"/>
      <c r="DC46" s="583"/>
      <c r="DD46" s="583"/>
      <c r="DE46" s="584"/>
    </row>
    <row r="47" spans="1:109" s="2" customFormat="1" ht="23.25" customHeight="1">
      <c r="A47" s="554" t="s">
        <v>1185</v>
      </c>
      <c r="B47" s="555"/>
      <c r="C47" s="555"/>
      <c r="D47" s="555"/>
      <c r="E47" s="555"/>
      <c r="F47" s="555"/>
      <c r="G47" s="555"/>
      <c r="H47" s="555"/>
      <c r="I47" s="555"/>
      <c r="J47" s="555"/>
      <c r="K47" s="555"/>
      <c r="L47" s="555"/>
      <c r="M47" s="555"/>
      <c r="N47" s="555"/>
      <c r="O47" s="556"/>
      <c r="P47" s="557" t="s">
        <v>1186</v>
      </c>
      <c r="Q47" s="557"/>
      <c r="R47" s="557"/>
      <c r="S47" s="557"/>
      <c r="T47" s="557"/>
      <c r="U47" s="557"/>
      <c r="V47" s="557"/>
      <c r="W47" s="557"/>
      <c r="X47" s="557"/>
      <c r="Y47" s="557"/>
      <c r="Z47" s="557"/>
      <c r="AA47" s="557"/>
      <c r="AB47" s="557"/>
      <c r="AC47" s="557"/>
      <c r="AD47" s="558"/>
      <c r="AE47" s="558"/>
      <c r="AF47" s="558"/>
      <c r="AG47" s="559">
        <v>1</v>
      </c>
      <c r="AH47" s="559"/>
      <c r="AI47" s="559"/>
      <c r="AJ47" s="559"/>
      <c r="AK47" s="585">
        <f>393.95*30.41</f>
        <v>11980.0195</v>
      </c>
      <c r="AL47" s="586"/>
      <c r="AM47" s="586"/>
      <c r="AN47" s="586"/>
      <c r="AO47" s="586"/>
      <c r="AP47" s="587"/>
      <c r="AQ47" s="583">
        <f t="shared" si="2"/>
        <v>143760.234</v>
      </c>
      <c r="AR47" s="583"/>
      <c r="AS47" s="583"/>
      <c r="AT47" s="583"/>
      <c r="AU47" s="583"/>
      <c r="AV47" s="583"/>
      <c r="AW47" s="583"/>
      <c r="AX47" s="583"/>
      <c r="AY47" s="588"/>
      <c r="AZ47" s="589"/>
      <c r="BA47" s="589"/>
      <c r="BB47" s="589"/>
      <c r="BC47" s="589"/>
      <c r="BD47" s="589"/>
      <c r="BE47" s="589"/>
      <c r="BF47" s="590"/>
      <c r="BG47" s="582">
        <f>393.95*10</f>
        <v>3939.5</v>
      </c>
      <c r="BH47" s="582"/>
      <c r="BI47" s="582"/>
      <c r="BJ47" s="582"/>
      <c r="BK47" s="582"/>
      <c r="BL47" s="582"/>
      <c r="BM47" s="582"/>
      <c r="BN47" s="582"/>
      <c r="BO47" s="579">
        <f t="shared" si="0"/>
        <v>19693.182739726028</v>
      </c>
      <c r="BP47" s="580"/>
      <c r="BQ47" s="580"/>
      <c r="BR47" s="580"/>
      <c r="BS47" s="580"/>
      <c r="BT47" s="580"/>
      <c r="BU47" s="580"/>
      <c r="BV47" s="581"/>
      <c r="BW47" s="582"/>
      <c r="BX47" s="582"/>
      <c r="BY47" s="582"/>
      <c r="BZ47" s="582"/>
      <c r="CA47" s="582"/>
      <c r="CB47" s="582"/>
      <c r="CC47" s="582"/>
      <c r="CD47" s="582"/>
      <c r="CE47" s="582"/>
      <c r="CF47" s="582"/>
      <c r="CG47" s="582"/>
      <c r="CH47" s="582"/>
      <c r="CI47" s="582"/>
      <c r="CJ47" s="582"/>
      <c r="CK47" s="582"/>
      <c r="CL47" s="582"/>
      <c r="CM47" s="582"/>
      <c r="CN47" s="582">
        <f>400*24</f>
        <v>9600</v>
      </c>
      <c r="CO47" s="582"/>
      <c r="CP47" s="582"/>
      <c r="CQ47" s="582"/>
      <c r="CR47" s="582"/>
      <c r="CS47" s="582"/>
      <c r="CT47" s="582"/>
      <c r="CU47" s="582"/>
      <c r="CV47" s="583">
        <f t="shared" si="1"/>
        <v>176992.91673972603</v>
      </c>
      <c r="CW47" s="583"/>
      <c r="CX47" s="583"/>
      <c r="CY47" s="583"/>
      <c r="CZ47" s="583"/>
      <c r="DA47" s="583"/>
      <c r="DB47" s="583"/>
      <c r="DC47" s="583"/>
      <c r="DD47" s="583"/>
      <c r="DE47" s="584"/>
    </row>
    <row r="48" spans="1:109" s="2" customFormat="1" ht="23.25" customHeight="1">
      <c r="A48" s="554" t="s">
        <v>1187</v>
      </c>
      <c r="B48" s="555"/>
      <c r="C48" s="555"/>
      <c r="D48" s="555"/>
      <c r="E48" s="555"/>
      <c r="F48" s="555"/>
      <c r="G48" s="555"/>
      <c r="H48" s="555"/>
      <c r="I48" s="555"/>
      <c r="J48" s="555"/>
      <c r="K48" s="555"/>
      <c r="L48" s="555"/>
      <c r="M48" s="555"/>
      <c r="N48" s="555"/>
      <c r="O48" s="556"/>
      <c r="P48" s="557" t="s">
        <v>1188</v>
      </c>
      <c r="Q48" s="557"/>
      <c r="R48" s="557"/>
      <c r="S48" s="557"/>
      <c r="T48" s="557"/>
      <c r="U48" s="557"/>
      <c r="V48" s="557"/>
      <c r="W48" s="557"/>
      <c r="X48" s="557"/>
      <c r="Y48" s="557"/>
      <c r="Z48" s="557"/>
      <c r="AA48" s="557"/>
      <c r="AB48" s="557"/>
      <c r="AC48" s="557"/>
      <c r="AD48" s="558"/>
      <c r="AE48" s="558"/>
      <c r="AF48" s="558"/>
      <c r="AG48" s="559">
        <v>1</v>
      </c>
      <c r="AH48" s="559"/>
      <c r="AI48" s="559"/>
      <c r="AJ48" s="559"/>
      <c r="AK48" s="585">
        <f>594.67*30.41</f>
        <v>18083.914699999998</v>
      </c>
      <c r="AL48" s="586"/>
      <c r="AM48" s="586"/>
      <c r="AN48" s="586"/>
      <c r="AO48" s="586"/>
      <c r="AP48" s="587"/>
      <c r="AQ48" s="583">
        <f t="shared" si="2"/>
        <v>217006.97639999999</v>
      </c>
      <c r="AR48" s="583"/>
      <c r="AS48" s="583"/>
      <c r="AT48" s="583"/>
      <c r="AU48" s="583"/>
      <c r="AV48" s="583"/>
      <c r="AW48" s="583"/>
      <c r="AX48" s="583"/>
      <c r="AY48" s="588"/>
      <c r="AZ48" s="589"/>
      <c r="BA48" s="589"/>
      <c r="BB48" s="589"/>
      <c r="BC48" s="589"/>
      <c r="BD48" s="589"/>
      <c r="BE48" s="589"/>
      <c r="BF48" s="590"/>
      <c r="BG48" s="582">
        <f>594.67*10</f>
        <v>5946.7</v>
      </c>
      <c r="BH48" s="582"/>
      <c r="BI48" s="582"/>
      <c r="BJ48" s="582"/>
      <c r="BK48" s="582"/>
      <c r="BL48" s="582"/>
      <c r="BM48" s="582"/>
      <c r="BN48" s="582"/>
      <c r="BO48" s="579">
        <f t="shared" si="0"/>
        <v>29726.983068493148</v>
      </c>
      <c r="BP48" s="580"/>
      <c r="BQ48" s="580"/>
      <c r="BR48" s="580"/>
      <c r="BS48" s="580"/>
      <c r="BT48" s="580"/>
      <c r="BU48" s="580"/>
      <c r="BV48" s="581"/>
      <c r="BW48" s="582"/>
      <c r="BX48" s="582"/>
      <c r="BY48" s="582"/>
      <c r="BZ48" s="582"/>
      <c r="CA48" s="582"/>
      <c r="CB48" s="582"/>
      <c r="CC48" s="582"/>
      <c r="CD48" s="582"/>
      <c r="CE48" s="582"/>
      <c r="CF48" s="582"/>
      <c r="CG48" s="582"/>
      <c r="CH48" s="582"/>
      <c r="CI48" s="582"/>
      <c r="CJ48" s="582"/>
      <c r="CK48" s="582"/>
      <c r="CL48" s="582"/>
      <c r="CM48" s="582"/>
      <c r="CN48" s="582"/>
      <c r="CO48" s="582"/>
      <c r="CP48" s="582"/>
      <c r="CQ48" s="582"/>
      <c r="CR48" s="582"/>
      <c r="CS48" s="582"/>
      <c r="CT48" s="582"/>
      <c r="CU48" s="582"/>
      <c r="CV48" s="583">
        <f t="shared" si="1"/>
        <v>252680.65946849313</v>
      </c>
      <c r="CW48" s="583"/>
      <c r="CX48" s="583"/>
      <c r="CY48" s="583"/>
      <c r="CZ48" s="583"/>
      <c r="DA48" s="583"/>
      <c r="DB48" s="583"/>
      <c r="DC48" s="583"/>
      <c r="DD48" s="583"/>
      <c r="DE48" s="584"/>
    </row>
    <row r="49" spans="1:121" s="2" customFormat="1" ht="23.25" customHeight="1">
      <c r="A49" s="554" t="s">
        <v>1189</v>
      </c>
      <c r="B49" s="555"/>
      <c r="C49" s="555"/>
      <c r="D49" s="555"/>
      <c r="E49" s="555"/>
      <c r="F49" s="555"/>
      <c r="G49" s="555"/>
      <c r="H49" s="555"/>
      <c r="I49" s="555"/>
      <c r="J49" s="555"/>
      <c r="K49" s="555"/>
      <c r="L49" s="555"/>
      <c r="M49" s="555"/>
      <c r="N49" s="555"/>
      <c r="O49" s="556"/>
      <c r="P49" s="557" t="s">
        <v>1188</v>
      </c>
      <c r="Q49" s="557"/>
      <c r="R49" s="557"/>
      <c r="S49" s="557"/>
      <c r="T49" s="557"/>
      <c r="U49" s="557"/>
      <c r="V49" s="557"/>
      <c r="W49" s="557"/>
      <c r="X49" s="557"/>
      <c r="Y49" s="557"/>
      <c r="Z49" s="557"/>
      <c r="AA49" s="557"/>
      <c r="AB49" s="557"/>
      <c r="AC49" s="557"/>
      <c r="AD49" s="558"/>
      <c r="AE49" s="558"/>
      <c r="AF49" s="558"/>
      <c r="AG49" s="559">
        <v>1</v>
      </c>
      <c r="AH49" s="559"/>
      <c r="AI49" s="559"/>
      <c r="AJ49" s="559"/>
      <c r="AK49" s="585">
        <f>250.29*30.41</f>
        <v>7611.3189000000002</v>
      </c>
      <c r="AL49" s="586"/>
      <c r="AM49" s="586"/>
      <c r="AN49" s="586"/>
      <c r="AO49" s="586"/>
      <c r="AP49" s="587"/>
      <c r="AQ49" s="583">
        <f t="shared" si="2"/>
        <v>91335.82680000001</v>
      </c>
      <c r="AR49" s="583"/>
      <c r="AS49" s="583"/>
      <c r="AT49" s="583"/>
      <c r="AU49" s="583"/>
      <c r="AV49" s="583"/>
      <c r="AW49" s="583"/>
      <c r="AX49" s="583"/>
      <c r="AY49" s="588"/>
      <c r="AZ49" s="589"/>
      <c r="BA49" s="589"/>
      <c r="BB49" s="589"/>
      <c r="BC49" s="589"/>
      <c r="BD49" s="589"/>
      <c r="BE49" s="589"/>
      <c r="BF49" s="590"/>
      <c r="BG49" s="582">
        <f>250.29*10</f>
        <v>2502.9</v>
      </c>
      <c r="BH49" s="582"/>
      <c r="BI49" s="582"/>
      <c r="BJ49" s="582"/>
      <c r="BK49" s="582"/>
      <c r="BL49" s="582"/>
      <c r="BM49" s="582"/>
      <c r="BN49" s="582"/>
      <c r="BO49" s="579">
        <f t="shared" si="0"/>
        <v>12511.757095890413</v>
      </c>
      <c r="BP49" s="580"/>
      <c r="BQ49" s="580"/>
      <c r="BR49" s="580"/>
      <c r="BS49" s="580"/>
      <c r="BT49" s="580"/>
      <c r="BU49" s="580"/>
      <c r="BV49" s="581"/>
      <c r="BW49" s="582"/>
      <c r="BX49" s="582"/>
      <c r="BY49" s="582"/>
      <c r="BZ49" s="582"/>
      <c r="CA49" s="582"/>
      <c r="CB49" s="582"/>
      <c r="CC49" s="582"/>
      <c r="CD49" s="582"/>
      <c r="CE49" s="582"/>
      <c r="CF49" s="582"/>
      <c r="CG49" s="582"/>
      <c r="CH49" s="582"/>
      <c r="CI49" s="582"/>
      <c r="CJ49" s="582"/>
      <c r="CK49" s="582"/>
      <c r="CL49" s="582"/>
      <c r="CM49" s="582"/>
      <c r="CN49" s="582">
        <f>400*24*AG49</f>
        <v>9600</v>
      </c>
      <c r="CO49" s="582"/>
      <c r="CP49" s="582"/>
      <c r="CQ49" s="582"/>
      <c r="CR49" s="582"/>
      <c r="CS49" s="582"/>
      <c r="CT49" s="582"/>
      <c r="CU49" s="582"/>
      <c r="CV49" s="583">
        <f t="shared" si="1"/>
        <v>115950.48389589041</v>
      </c>
      <c r="CW49" s="583"/>
      <c r="CX49" s="583"/>
      <c r="CY49" s="583"/>
      <c r="CZ49" s="583"/>
      <c r="DA49" s="583"/>
      <c r="DB49" s="583"/>
      <c r="DC49" s="583"/>
      <c r="DD49" s="583"/>
      <c r="DE49" s="584"/>
    </row>
    <row r="50" spans="1:121" s="2" customFormat="1" ht="23.25" customHeight="1">
      <c r="A50" s="554" t="s">
        <v>1143</v>
      </c>
      <c r="B50" s="555"/>
      <c r="C50" s="555"/>
      <c r="D50" s="555"/>
      <c r="E50" s="555"/>
      <c r="F50" s="555"/>
      <c r="G50" s="555"/>
      <c r="H50" s="555"/>
      <c r="I50" s="555"/>
      <c r="J50" s="555"/>
      <c r="K50" s="555"/>
      <c r="L50" s="555"/>
      <c r="M50" s="555"/>
      <c r="N50" s="555"/>
      <c r="O50" s="556"/>
      <c r="P50" s="557" t="s">
        <v>1188</v>
      </c>
      <c r="Q50" s="557"/>
      <c r="R50" s="557"/>
      <c r="S50" s="557"/>
      <c r="T50" s="557"/>
      <c r="U50" s="557"/>
      <c r="V50" s="557"/>
      <c r="W50" s="557"/>
      <c r="X50" s="557"/>
      <c r="Y50" s="557"/>
      <c r="Z50" s="557"/>
      <c r="AA50" s="557"/>
      <c r="AB50" s="557"/>
      <c r="AC50" s="557"/>
      <c r="AD50" s="558"/>
      <c r="AE50" s="558"/>
      <c r="AF50" s="558"/>
      <c r="AG50" s="559">
        <v>1</v>
      </c>
      <c r="AH50" s="559"/>
      <c r="AI50" s="559"/>
      <c r="AJ50" s="559"/>
      <c r="AK50" s="585">
        <f>250.29*30.41</f>
        <v>7611.3189000000002</v>
      </c>
      <c r="AL50" s="586"/>
      <c r="AM50" s="586"/>
      <c r="AN50" s="586"/>
      <c r="AO50" s="586"/>
      <c r="AP50" s="587"/>
      <c r="AQ50" s="583">
        <f t="shared" si="2"/>
        <v>91335.82680000001</v>
      </c>
      <c r="AR50" s="583"/>
      <c r="AS50" s="583"/>
      <c r="AT50" s="583"/>
      <c r="AU50" s="583"/>
      <c r="AV50" s="583"/>
      <c r="AW50" s="583"/>
      <c r="AX50" s="583"/>
      <c r="AY50" s="588"/>
      <c r="AZ50" s="589"/>
      <c r="BA50" s="589"/>
      <c r="BB50" s="589"/>
      <c r="BC50" s="589"/>
      <c r="BD50" s="589"/>
      <c r="BE50" s="589"/>
      <c r="BF50" s="590"/>
      <c r="BG50" s="582">
        <f>250.29*10</f>
        <v>2502.9</v>
      </c>
      <c r="BH50" s="582"/>
      <c r="BI50" s="582"/>
      <c r="BJ50" s="582"/>
      <c r="BK50" s="582"/>
      <c r="BL50" s="582"/>
      <c r="BM50" s="582"/>
      <c r="BN50" s="582"/>
      <c r="BO50" s="579">
        <f t="shared" si="0"/>
        <v>12511.757095890413</v>
      </c>
      <c r="BP50" s="580"/>
      <c r="BQ50" s="580"/>
      <c r="BR50" s="580"/>
      <c r="BS50" s="580"/>
      <c r="BT50" s="580"/>
      <c r="BU50" s="580"/>
      <c r="BV50" s="581"/>
      <c r="BW50" s="582"/>
      <c r="BX50" s="582"/>
      <c r="BY50" s="582"/>
      <c r="BZ50" s="582"/>
      <c r="CA50" s="582"/>
      <c r="CB50" s="582"/>
      <c r="CC50" s="582"/>
      <c r="CD50" s="582"/>
      <c r="CE50" s="582"/>
      <c r="CF50" s="582"/>
      <c r="CG50" s="582"/>
      <c r="CH50" s="582"/>
      <c r="CI50" s="582"/>
      <c r="CJ50" s="582"/>
      <c r="CK50" s="582"/>
      <c r="CL50" s="582"/>
      <c r="CM50" s="582"/>
      <c r="CN50" s="582">
        <f t="shared" ref="CN50:CN54" si="6">400*24*AG50</f>
        <v>9600</v>
      </c>
      <c r="CO50" s="582"/>
      <c r="CP50" s="582"/>
      <c r="CQ50" s="582"/>
      <c r="CR50" s="582"/>
      <c r="CS50" s="582"/>
      <c r="CT50" s="582"/>
      <c r="CU50" s="582"/>
      <c r="CV50" s="583">
        <f t="shared" si="1"/>
        <v>115950.48389589041</v>
      </c>
      <c r="CW50" s="583"/>
      <c r="CX50" s="583"/>
      <c r="CY50" s="583"/>
      <c r="CZ50" s="583"/>
      <c r="DA50" s="583"/>
      <c r="DB50" s="583"/>
      <c r="DC50" s="583"/>
      <c r="DD50" s="583"/>
      <c r="DE50" s="584"/>
    </row>
    <row r="51" spans="1:121" s="2" customFormat="1" ht="23.25" customHeight="1">
      <c r="A51" s="554" t="s">
        <v>1190</v>
      </c>
      <c r="B51" s="555"/>
      <c r="C51" s="555"/>
      <c r="D51" s="555"/>
      <c r="E51" s="555"/>
      <c r="F51" s="555"/>
      <c r="G51" s="555"/>
      <c r="H51" s="555"/>
      <c r="I51" s="555"/>
      <c r="J51" s="555"/>
      <c r="K51" s="555"/>
      <c r="L51" s="555"/>
      <c r="M51" s="555"/>
      <c r="N51" s="555"/>
      <c r="O51" s="556"/>
      <c r="P51" s="557" t="s">
        <v>1191</v>
      </c>
      <c r="Q51" s="557"/>
      <c r="R51" s="557"/>
      <c r="S51" s="557"/>
      <c r="T51" s="557"/>
      <c r="U51" s="557"/>
      <c r="V51" s="557"/>
      <c r="W51" s="557"/>
      <c r="X51" s="557"/>
      <c r="Y51" s="557"/>
      <c r="Z51" s="557"/>
      <c r="AA51" s="557"/>
      <c r="AB51" s="557"/>
      <c r="AC51" s="557"/>
      <c r="AD51" s="558"/>
      <c r="AE51" s="558"/>
      <c r="AF51" s="558"/>
      <c r="AG51" s="559">
        <v>1</v>
      </c>
      <c r="AH51" s="559"/>
      <c r="AI51" s="559"/>
      <c r="AJ51" s="559"/>
      <c r="AK51" s="585">
        <f>296.54*30.41</f>
        <v>9017.7813999999998</v>
      </c>
      <c r="AL51" s="586"/>
      <c r="AM51" s="586"/>
      <c r="AN51" s="586"/>
      <c r="AO51" s="586"/>
      <c r="AP51" s="587"/>
      <c r="AQ51" s="583">
        <f t="shared" si="2"/>
        <v>108213.3768</v>
      </c>
      <c r="AR51" s="583"/>
      <c r="AS51" s="583"/>
      <c r="AT51" s="583"/>
      <c r="AU51" s="583"/>
      <c r="AV51" s="583"/>
      <c r="AW51" s="583"/>
      <c r="AX51" s="583"/>
      <c r="AY51" s="588"/>
      <c r="AZ51" s="589"/>
      <c r="BA51" s="589"/>
      <c r="BB51" s="589"/>
      <c r="BC51" s="589"/>
      <c r="BD51" s="589"/>
      <c r="BE51" s="589"/>
      <c r="BF51" s="590"/>
      <c r="BG51" s="582">
        <f>296.54*10</f>
        <v>2965.4</v>
      </c>
      <c r="BH51" s="582"/>
      <c r="BI51" s="582"/>
      <c r="BJ51" s="582"/>
      <c r="BK51" s="582"/>
      <c r="BL51" s="582"/>
      <c r="BM51" s="582"/>
      <c r="BN51" s="582"/>
      <c r="BO51" s="579">
        <f t="shared" si="0"/>
        <v>14823.75024657534</v>
      </c>
      <c r="BP51" s="580"/>
      <c r="BQ51" s="580"/>
      <c r="BR51" s="580"/>
      <c r="BS51" s="580"/>
      <c r="BT51" s="580"/>
      <c r="BU51" s="580"/>
      <c r="BV51" s="581"/>
      <c r="BW51" s="582"/>
      <c r="BX51" s="582"/>
      <c r="BY51" s="582"/>
      <c r="BZ51" s="582"/>
      <c r="CA51" s="582"/>
      <c r="CB51" s="582"/>
      <c r="CC51" s="582"/>
      <c r="CD51" s="582"/>
      <c r="CE51" s="582"/>
      <c r="CF51" s="582"/>
      <c r="CG51" s="582"/>
      <c r="CH51" s="582"/>
      <c r="CI51" s="582"/>
      <c r="CJ51" s="582"/>
      <c r="CK51" s="582"/>
      <c r="CL51" s="582"/>
      <c r="CM51" s="582"/>
      <c r="CN51" s="582">
        <f t="shared" si="6"/>
        <v>9600</v>
      </c>
      <c r="CO51" s="582"/>
      <c r="CP51" s="582"/>
      <c r="CQ51" s="582"/>
      <c r="CR51" s="582"/>
      <c r="CS51" s="582"/>
      <c r="CT51" s="582"/>
      <c r="CU51" s="582"/>
      <c r="CV51" s="583">
        <f t="shared" si="1"/>
        <v>135602.52704657533</v>
      </c>
      <c r="CW51" s="583"/>
      <c r="CX51" s="583"/>
      <c r="CY51" s="583"/>
      <c r="CZ51" s="583"/>
      <c r="DA51" s="583"/>
      <c r="DB51" s="583"/>
      <c r="DC51" s="583"/>
      <c r="DD51" s="583"/>
      <c r="DE51" s="584"/>
    </row>
    <row r="52" spans="1:121" s="2" customFormat="1" ht="23.25" customHeight="1">
      <c r="A52" s="554" t="s">
        <v>1159</v>
      </c>
      <c r="B52" s="555"/>
      <c r="C52" s="555"/>
      <c r="D52" s="555"/>
      <c r="E52" s="555"/>
      <c r="F52" s="555"/>
      <c r="G52" s="555"/>
      <c r="H52" s="555"/>
      <c r="I52" s="555"/>
      <c r="J52" s="555"/>
      <c r="K52" s="555"/>
      <c r="L52" s="555"/>
      <c r="M52" s="555"/>
      <c r="N52" s="555"/>
      <c r="O52" s="556"/>
      <c r="P52" s="557" t="s">
        <v>1191</v>
      </c>
      <c r="Q52" s="557"/>
      <c r="R52" s="557"/>
      <c r="S52" s="557"/>
      <c r="T52" s="557"/>
      <c r="U52" s="557"/>
      <c r="V52" s="557"/>
      <c r="W52" s="557"/>
      <c r="X52" s="557"/>
      <c r="Y52" s="557"/>
      <c r="Z52" s="557"/>
      <c r="AA52" s="557"/>
      <c r="AB52" s="557"/>
      <c r="AC52" s="557"/>
      <c r="AD52" s="558"/>
      <c r="AE52" s="558"/>
      <c r="AF52" s="558"/>
      <c r="AG52" s="559">
        <v>1</v>
      </c>
      <c r="AH52" s="559"/>
      <c r="AI52" s="559"/>
      <c r="AJ52" s="559"/>
      <c r="AK52" s="585">
        <f>250.29*30.41</f>
        <v>7611.3189000000002</v>
      </c>
      <c r="AL52" s="586"/>
      <c r="AM52" s="586"/>
      <c r="AN52" s="586"/>
      <c r="AO52" s="586"/>
      <c r="AP52" s="587"/>
      <c r="AQ52" s="583">
        <f t="shared" si="2"/>
        <v>91335.82680000001</v>
      </c>
      <c r="AR52" s="583"/>
      <c r="AS52" s="583"/>
      <c r="AT52" s="583"/>
      <c r="AU52" s="583"/>
      <c r="AV52" s="583"/>
      <c r="AW52" s="583"/>
      <c r="AX52" s="583"/>
      <c r="AY52" s="588"/>
      <c r="AZ52" s="589"/>
      <c r="BA52" s="589"/>
      <c r="BB52" s="589"/>
      <c r="BC52" s="589"/>
      <c r="BD52" s="589"/>
      <c r="BE52" s="589"/>
      <c r="BF52" s="590"/>
      <c r="BG52" s="582">
        <f>250.29*10</f>
        <v>2502.9</v>
      </c>
      <c r="BH52" s="582"/>
      <c r="BI52" s="582"/>
      <c r="BJ52" s="582"/>
      <c r="BK52" s="582"/>
      <c r="BL52" s="582"/>
      <c r="BM52" s="582"/>
      <c r="BN52" s="582"/>
      <c r="BO52" s="579">
        <f t="shared" si="0"/>
        <v>12511.757095890413</v>
      </c>
      <c r="BP52" s="580"/>
      <c r="BQ52" s="580"/>
      <c r="BR52" s="580"/>
      <c r="BS52" s="580"/>
      <c r="BT52" s="580"/>
      <c r="BU52" s="580"/>
      <c r="BV52" s="581"/>
      <c r="BW52" s="582"/>
      <c r="BX52" s="582"/>
      <c r="BY52" s="582"/>
      <c r="BZ52" s="582"/>
      <c r="CA52" s="582"/>
      <c r="CB52" s="582"/>
      <c r="CC52" s="582"/>
      <c r="CD52" s="582"/>
      <c r="CE52" s="582"/>
      <c r="CF52" s="582"/>
      <c r="CG52" s="582"/>
      <c r="CH52" s="582"/>
      <c r="CI52" s="582"/>
      <c r="CJ52" s="582"/>
      <c r="CK52" s="582"/>
      <c r="CL52" s="582"/>
      <c r="CM52" s="582"/>
      <c r="CN52" s="582">
        <f t="shared" si="6"/>
        <v>9600</v>
      </c>
      <c r="CO52" s="582"/>
      <c r="CP52" s="582"/>
      <c r="CQ52" s="582"/>
      <c r="CR52" s="582"/>
      <c r="CS52" s="582"/>
      <c r="CT52" s="582"/>
      <c r="CU52" s="582"/>
      <c r="CV52" s="583">
        <f t="shared" si="1"/>
        <v>115950.48389589041</v>
      </c>
      <c r="CW52" s="583"/>
      <c r="CX52" s="583"/>
      <c r="CY52" s="583"/>
      <c r="CZ52" s="583"/>
      <c r="DA52" s="583"/>
      <c r="DB52" s="583"/>
      <c r="DC52" s="583"/>
      <c r="DD52" s="583"/>
      <c r="DE52" s="584"/>
    </row>
    <row r="53" spans="1:121" s="2" customFormat="1" ht="23.25" customHeight="1">
      <c r="A53" s="554" t="s">
        <v>1192</v>
      </c>
      <c r="B53" s="555"/>
      <c r="C53" s="555"/>
      <c r="D53" s="555"/>
      <c r="E53" s="555"/>
      <c r="F53" s="555"/>
      <c r="G53" s="555"/>
      <c r="H53" s="555"/>
      <c r="I53" s="555"/>
      <c r="J53" s="555"/>
      <c r="K53" s="555"/>
      <c r="L53" s="555"/>
      <c r="M53" s="555"/>
      <c r="N53" s="555"/>
      <c r="O53" s="556"/>
      <c r="P53" s="557" t="s">
        <v>1193</v>
      </c>
      <c r="Q53" s="557"/>
      <c r="R53" s="557"/>
      <c r="S53" s="557"/>
      <c r="T53" s="557"/>
      <c r="U53" s="557"/>
      <c r="V53" s="557"/>
      <c r="W53" s="557"/>
      <c r="X53" s="557"/>
      <c r="Y53" s="557"/>
      <c r="Z53" s="557"/>
      <c r="AA53" s="557"/>
      <c r="AB53" s="557"/>
      <c r="AC53" s="557"/>
      <c r="AD53" s="558"/>
      <c r="AE53" s="558"/>
      <c r="AF53" s="558"/>
      <c r="AG53" s="559">
        <v>1</v>
      </c>
      <c r="AH53" s="559"/>
      <c r="AI53" s="559"/>
      <c r="AJ53" s="559"/>
      <c r="AK53" s="585">
        <f>393.95*30.41</f>
        <v>11980.0195</v>
      </c>
      <c r="AL53" s="586"/>
      <c r="AM53" s="586"/>
      <c r="AN53" s="586"/>
      <c r="AO53" s="586"/>
      <c r="AP53" s="587"/>
      <c r="AQ53" s="583">
        <f t="shared" si="2"/>
        <v>143760.234</v>
      </c>
      <c r="AR53" s="583"/>
      <c r="AS53" s="583"/>
      <c r="AT53" s="583"/>
      <c r="AU53" s="583"/>
      <c r="AV53" s="583"/>
      <c r="AW53" s="583"/>
      <c r="AX53" s="583"/>
      <c r="AY53" s="588"/>
      <c r="AZ53" s="589"/>
      <c r="BA53" s="589"/>
      <c r="BB53" s="589"/>
      <c r="BC53" s="589"/>
      <c r="BD53" s="589"/>
      <c r="BE53" s="589"/>
      <c r="BF53" s="590"/>
      <c r="BG53" s="582">
        <f>393.95*10</f>
        <v>3939.5</v>
      </c>
      <c r="BH53" s="582"/>
      <c r="BI53" s="582"/>
      <c r="BJ53" s="582"/>
      <c r="BK53" s="582"/>
      <c r="BL53" s="582"/>
      <c r="BM53" s="582"/>
      <c r="BN53" s="582"/>
      <c r="BO53" s="579">
        <f t="shared" si="0"/>
        <v>19693.182739726028</v>
      </c>
      <c r="BP53" s="580"/>
      <c r="BQ53" s="580"/>
      <c r="BR53" s="580"/>
      <c r="BS53" s="580"/>
      <c r="BT53" s="580"/>
      <c r="BU53" s="580"/>
      <c r="BV53" s="581"/>
      <c r="BW53" s="582"/>
      <c r="BX53" s="582"/>
      <c r="BY53" s="582"/>
      <c r="BZ53" s="582"/>
      <c r="CA53" s="582"/>
      <c r="CB53" s="582"/>
      <c r="CC53" s="582"/>
      <c r="CD53" s="582"/>
      <c r="CE53" s="582"/>
      <c r="CF53" s="582"/>
      <c r="CG53" s="582"/>
      <c r="CH53" s="582"/>
      <c r="CI53" s="582"/>
      <c r="CJ53" s="582"/>
      <c r="CK53" s="582"/>
      <c r="CL53" s="582"/>
      <c r="CM53" s="582"/>
      <c r="CN53" s="582">
        <f t="shared" si="6"/>
        <v>9600</v>
      </c>
      <c r="CO53" s="582"/>
      <c r="CP53" s="582"/>
      <c r="CQ53" s="582"/>
      <c r="CR53" s="582"/>
      <c r="CS53" s="582"/>
      <c r="CT53" s="582"/>
      <c r="CU53" s="582"/>
      <c r="CV53" s="583">
        <f t="shared" si="1"/>
        <v>176992.91673972603</v>
      </c>
      <c r="CW53" s="583"/>
      <c r="CX53" s="583"/>
      <c r="CY53" s="583"/>
      <c r="CZ53" s="583"/>
      <c r="DA53" s="583"/>
      <c r="DB53" s="583"/>
      <c r="DC53" s="583"/>
      <c r="DD53" s="583"/>
      <c r="DE53" s="584"/>
    </row>
    <row r="54" spans="1:121" s="2" customFormat="1" ht="23.25" customHeight="1">
      <c r="A54" s="554" t="s">
        <v>1143</v>
      </c>
      <c r="B54" s="555"/>
      <c r="C54" s="555"/>
      <c r="D54" s="555"/>
      <c r="E54" s="555"/>
      <c r="F54" s="555"/>
      <c r="G54" s="555"/>
      <c r="H54" s="555"/>
      <c r="I54" s="555"/>
      <c r="J54" s="555"/>
      <c r="K54" s="555"/>
      <c r="L54" s="555"/>
      <c r="M54" s="555"/>
      <c r="N54" s="555"/>
      <c r="O54" s="556"/>
      <c r="P54" s="557" t="s">
        <v>1193</v>
      </c>
      <c r="Q54" s="557"/>
      <c r="R54" s="557"/>
      <c r="S54" s="557"/>
      <c r="T54" s="557"/>
      <c r="U54" s="557"/>
      <c r="V54" s="557"/>
      <c r="W54" s="557"/>
      <c r="X54" s="557"/>
      <c r="Y54" s="557"/>
      <c r="Z54" s="557"/>
      <c r="AA54" s="557"/>
      <c r="AB54" s="557"/>
      <c r="AC54" s="557"/>
      <c r="AD54" s="558"/>
      <c r="AE54" s="558"/>
      <c r="AF54" s="558"/>
      <c r="AG54" s="559">
        <v>2</v>
      </c>
      <c r="AH54" s="559"/>
      <c r="AI54" s="559"/>
      <c r="AJ54" s="559"/>
      <c r="AK54" s="585">
        <f>250.29*30.41</f>
        <v>7611.3189000000002</v>
      </c>
      <c r="AL54" s="586"/>
      <c r="AM54" s="586"/>
      <c r="AN54" s="586"/>
      <c r="AO54" s="586"/>
      <c r="AP54" s="587"/>
      <c r="AQ54" s="583">
        <f t="shared" si="2"/>
        <v>182671.65360000002</v>
      </c>
      <c r="AR54" s="583"/>
      <c r="AS54" s="583"/>
      <c r="AT54" s="583"/>
      <c r="AU54" s="583"/>
      <c r="AV54" s="583"/>
      <c r="AW54" s="583"/>
      <c r="AX54" s="583"/>
      <c r="AY54" s="588"/>
      <c r="AZ54" s="589"/>
      <c r="BA54" s="589"/>
      <c r="BB54" s="589"/>
      <c r="BC54" s="589"/>
      <c r="BD54" s="589"/>
      <c r="BE54" s="589"/>
      <c r="BF54" s="590"/>
      <c r="BG54" s="582">
        <f>250.29*10</f>
        <v>2502.9</v>
      </c>
      <c r="BH54" s="582"/>
      <c r="BI54" s="582"/>
      <c r="BJ54" s="582"/>
      <c r="BK54" s="582"/>
      <c r="BL54" s="582"/>
      <c r="BM54" s="582"/>
      <c r="BN54" s="582"/>
      <c r="BO54" s="579">
        <f t="shared" si="0"/>
        <v>25023.514191780825</v>
      </c>
      <c r="BP54" s="580"/>
      <c r="BQ54" s="580"/>
      <c r="BR54" s="580"/>
      <c r="BS54" s="580"/>
      <c r="BT54" s="580"/>
      <c r="BU54" s="580"/>
      <c r="BV54" s="581"/>
      <c r="BW54" s="582"/>
      <c r="BX54" s="582"/>
      <c r="BY54" s="582"/>
      <c r="BZ54" s="582"/>
      <c r="CA54" s="582"/>
      <c r="CB54" s="582"/>
      <c r="CC54" s="582"/>
      <c r="CD54" s="582"/>
      <c r="CE54" s="582"/>
      <c r="CF54" s="582"/>
      <c r="CG54" s="582"/>
      <c r="CH54" s="582"/>
      <c r="CI54" s="582"/>
      <c r="CJ54" s="582"/>
      <c r="CK54" s="582"/>
      <c r="CL54" s="582"/>
      <c r="CM54" s="582"/>
      <c r="CN54" s="582">
        <f t="shared" si="6"/>
        <v>19200</v>
      </c>
      <c r="CO54" s="582"/>
      <c r="CP54" s="582"/>
      <c r="CQ54" s="582"/>
      <c r="CR54" s="582"/>
      <c r="CS54" s="582"/>
      <c r="CT54" s="582"/>
      <c r="CU54" s="582"/>
      <c r="CV54" s="583">
        <f t="shared" si="1"/>
        <v>229398.06779178084</v>
      </c>
      <c r="CW54" s="583"/>
      <c r="CX54" s="583"/>
      <c r="CY54" s="583"/>
      <c r="CZ54" s="583"/>
      <c r="DA54" s="583"/>
      <c r="DB54" s="583"/>
      <c r="DC54" s="583"/>
      <c r="DD54" s="583"/>
      <c r="DE54" s="584"/>
    </row>
    <row r="55" spans="1:121" s="2" customFormat="1" ht="23.25" customHeight="1">
      <c r="A55" s="554" t="s">
        <v>1194</v>
      </c>
      <c r="B55" s="555"/>
      <c r="C55" s="555"/>
      <c r="D55" s="555"/>
      <c r="E55" s="555"/>
      <c r="F55" s="555"/>
      <c r="G55" s="555"/>
      <c r="H55" s="555"/>
      <c r="I55" s="555"/>
      <c r="J55" s="555"/>
      <c r="K55" s="555"/>
      <c r="L55" s="555"/>
      <c r="M55" s="555"/>
      <c r="N55" s="555"/>
      <c r="O55" s="556"/>
      <c r="P55" s="557" t="s">
        <v>1195</v>
      </c>
      <c r="Q55" s="557"/>
      <c r="R55" s="557"/>
      <c r="S55" s="557"/>
      <c r="T55" s="557"/>
      <c r="U55" s="557"/>
      <c r="V55" s="557"/>
      <c r="W55" s="557"/>
      <c r="X55" s="557"/>
      <c r="Y55" s="557"/>
      <c r="Z55" s="557"/>
      <c r="AA55" s="557"/>
      <c r="AB55" s="557"/>
      <c r="AC55" s="557"/>
      <c r="AD55" s="558"/>
      <c r="AE55" s="558"/>
      <c r="AF55" s="558"/>
      <c r="AG55" s="559">
        <v>1</v>
      </c>
      <c r="AH55" s="559"/>
      <c r="AI55" s="559"/>
      <c r="AJ55" s="559"/>
      <c r="AK55" s="585">
        <f>594.67*30.41</f>
        <v>18083.914699999998</v>
      </c>
      <c r="AL55" s="586"/>
      <c r="AM55" s="586"/>
      <c r="AN55" s="586"/>
      <c r="AO55" s="586"/>
      <c r="AP55" s="587"/>
      <c r="AQ55" s="583">
        <f t="shared" si="2"/>
        <v>217006.97639999999</v>
      </c>
      <c r="AR55" s="583"/>
      <c r="AS55" s="583"/>
      <c r="AT55" s="583"/>
      <c r="AU55" s="583"/>
      <c r="AV55" s="583"/>
      <c r="AW55" s="583"/>
      <c r="AX55" s="583"/>
      <c r="AY55" s="588"/>
      <c r="AZ55" s="589"/>
      <c r="BA55" s="589"/>
      <c r="BB55" s="589"/>
      <c r="BC55" s="589"/>
      <c r="BD55" s="589"/>
      <c r="BE55" s="589"/>
      <c r="BF55" s="590"/>
      <c r="BG55" s="582">
        <f>594.67*10</f>
        <v>5946.7</v>
      </c>
      <c r="BH55" s="582"/>
      <c r="BI55" s="582"/>
      <c r="BJ55" s="582"/>
      <c r="BK55" s="582"/>
      <c r="BL55" s="582"/>
      <c r="BM55" s="582"/>
      <c r="BN55" s="582"/>
      <c r="BO55" s="579">
        <f t="shared" si="0"/>
        <v>29726.983068493148</v>
      </c>
      <c r="BP55" s="580"/>
      <c r="BQ55" s="580"/>
      <c r="BR55" s="580"/>
      <c r="BS55" s="580"/>
      <c r="BT55" s="580"/>
      <c r="BU55" s="580"/>
      <c r="BV55" s="581"/>
      <c r="BW55" s="582"/>
      <c r="BX55" s="582"/>
      <c r="BY55" s="582"/>
      <c r="BZ55" s="582"/>
      <c r="CA55" s="582"/>
      <c r="CB55" s="582"/>
      <c r="CC55" s="582"/>
      <c r="CD55" s="582"/>
      <c r="CE55" s="582"/>
      <c r="CF55" s="582"/>
      <c r="CG55" s="582"/>
      <c r="CH55" s="582"/>
      <c r="CI55" s="582"/>
      <c r="CJ55" s="582"/>
      <c r="CK55" s="582"/>
      <c r="CL55" s="582"/>
      <c r="CM55" s="582"/>
      <c r="CN55" s="582"/>
      <c r="CO55" s="582"/>
      <c r="CP55" s="582"/>
      <c r="CQ55" s="582"/>
      <c r="CR55" s="582"/>
      <c r="CS55" s="582"/>
      <c r="CT55" s="582"/>
      <c r="CU55" s="582"/>
      <c r="CV55" s="583">
        <f t="shared" si="1"/>
        <v>252680.65946849313</v>
      </c>
      <c r="CW55" s="583"/>
      <c r="CX55" s="583"/>
      <c r="CY55" s="583"/>
      <c r="CZ55" s="583"/>
      <c r="DA55" s="583"/>
      <c r="DB55" s="583"/>
      <c r="DC55" s="583"/>
      <c r="DD55" s="583"/>
      <c r="DE55" s="584"/>
    </row>
    <row r="56" spans="1:121" s="2" customFormat="1" ht="23.25" customHeight="1">
      <c r="A56" s="554" t="s">
        <v>1196</v>
      </c>
      <c r="B56" s="555"/>
      <c r="C56" s="555"/>
      <c r="D56" s="555"/>
      <c r="E56" s="555"/>
      <c r="F56" s="555"/>
      <c r="G56" s="555"/>
      <c r="H56" s="555"/>
      <c r="I56" s="555"/>
      <c r="J56" s="555"/>
      <c r="K56" s="555"/>
      <c r="L56" s="555"/>
      <c r="M56" s="555"/>
      <c r="N56" s="555"/>
      <c r="O56" s="556"/>
      <c r="P56" s="557" t="s">
        <v>1195</v>
      </c>
      <c r="Q56" s="557"/>
      <c r="R56" s="557"/>
      <c r="S56" s="557"/>
      <c r="T56" s="557"/>
      <c r="U56" s="557"/>
      <c r="V56" s="557"/>
      <c r="W56" s="557"/>
      <c r="X56" s="557"/>
      <c r="Y56" s="557"/>
      <c r="Z56" s="557"/>
      <c r="AA56" s="557"/>
      <c r="AB56" s="557"/>
      <c r="AC56" s="557"/>
      <c r="AD56" s="558"/>
      <c r="AE56" s="558"/>
      <c r="AF56" s="558"/>
      <c r="AG56" s="559">
        <v>1</v>
      </c>
      <c r="AH56" s="559"/>
      <c r="AI56" s="559"/>
      <c r="AJ56" s="559"/>
      <c r="AK56" s="585">
        <f>250.29*30.41</f>
        <v>7611.3189000000002</v>
      </c>
      <c r="AL56" s="586"/>
      <c r="AM56" s="586"/>
      <c r="AN56" s="586"/>
      <c r="AO56" s="586"/>
      <c r="AP56" s="587"/>
      <c r="AQ56" s="583">
        <f t="shared" si="2"/>
        <v>91335.82680000001</v>
      </c>
      <c r="AR56" s="583"/>
      <c r="AS56" s="583"/>
      <c r="AT56" s="583"/>
      <c r="AU56" s="583"/>
      <c r="AV56" s="583"/>
      <c r="AW56" s="583"/>
      <c r="AX56" s="583"/>
      <c r="AY56" s="588"/>
      <c r="AZ56" s="589"/>
      <c r="BA56" s="589"/>
      <c r="BB56" s="589"/>
      <c r="BC56" s="589"/>
      <c r="BD56" s="589"/>
      <c r="BE56" s="589"/>
      <c r="BF56" s="590"/>
      <c r="BG56" s="582">
        <f>250.29*10</f>
        <v>2502.9</v>
      </c>
      <c r="BH56" s="582"/>
      <c r="BI56" s="582"/>
      <c r="BJ56" s="582"/>
      <c r="BK56" s="582"/>
      <c r="BL56" s="582"/>
      <c r="BM56" s="582"/>
      <c r="BN56" s="582"/>
      <c r="BO56" s="579">
        <f t="shared" si="0"/>
        <v>12511.757095890413</v>
      </c>
      <c r="BP56" s="580"/>
      <c r="BQ56" s="580"/>
      <c r="BR56" s="580"/>
      <c r="BS56" s="580"/>
      <c r="BT56" s="580"/>
      <c r="BU56" s="580"/>
      <c r="BV56" s="581"/>
      <c r="BW56" s="582"/>
      <c r="BX56" s="582"/>
      <c r="BY56" s="582"/>
      <c r="BZ56" s="582"/>
      <c r="CA56" s="582"/>
      <c r="CB56" s="582"/>
      <c r="CC56" s="582"/>
      <c r="CD56" s="582"/>
      <c r="CE56" s="582"/>
      <c r="CF56" s="582"/>
      <c r="CG56" s="582"/>
      <c r="CH56" s="582"/>
      <c r="CI56" s="582"/>
      <c r="CJ56" s="582"/>
      <c r="CK56" s="582"/>
      <c r="CL56" s="582"/>
      <c r="CM56" s="582"/>
      <c r="CN56" s="582">
        <f>400*24</f>
        <v>9600</v>
      </c>
      <c r="CO56" s="582"/>
      <c r="CP56" s="582"/>
      <c r="CQ56" s="582"/>
      <c r="CR56" s="582"/>
      <c r="CS56" s="582"/>
      <c r="CT56" s="582"/>
      <c r="CU56" s="582"/>
      <c r="CV56" s="583">
        <f t="shared" si="1"/>
        <v>115950.48389589041</v>
      </c>
      <c r="CW56" s="583"/>
      <c r="CX56" s="583"/>
      <c r="CY56" s="583"/>
      <c r="CZ56" s="583"/>
      <c r="DA56" s="583"/>
      <c r="DB56" s="583"/>
      <c r="DC56" s="583"/>
      <c r="DD56" s="583"/>
      <c r="DE56" s="584"/>
    </row>
    <row r="57" spans="1:121" s="2" customFormat="1" ht="23.25" customHeight="1">
      <c r="A57" s="554" t="s">
        <v>1197</v>
      </c>
      <c r="B57" s="555"/>
      <c r="C57" s="555"/>
      <c r="D57" s="555"/>
      <c r="E57" s="555"/>
      <c r="F57" s="555"/>
      <c r="G57" s="555"/>
      <c r="H57" s="555"/>
      <c r="I57" s="555"/>
      <c r="J57" s="555"/>
      <c r="K57" s="555"/>
      <c r="L57" s="555"/>
      <c r="M57" s="555"/>
      <c r="N57" s="555"/>
      <c r="O57" s="556"/>
      <c r="P57" s="557" t="s">
        <v>1195</v>
      </c>
      <c r="Q57" s="557"/>
      <c r="R57" s="557"/>
      <c r="S57" s="557"/>
      <c r="T57" s="557"/>
      <c r="U57" s="557"/>
      <c r="V57" s="557"/>
      <c r="W57" s="557"/>
      <c r="X57" s="557"/>
      <c r="Y57" s="557"/>
      <c r="Z57" s="557"/>
      <c r="AA57" s="557"/>
      <c r="AB57" s="557"/>
      <c r="AC57" s="557"/>
      <c r="AD57" s="558"/>
      <c r="AE57" s="558"/>
      <c r="AF57" s="558"/>
      <c r="AG57" s="559">
        <v>1</v>
      </c>
      <c r="AH57" s="559"/>
      <c r="AI57" s="559"/>
      <c r="AJ57" s="559"/>
      <c r="AK57" s="585">
        <f>296.54*30.41</f>
        <v>9017.7813999999998</v>
      </c>
      <c r="AL57" s="586"/>
      <c r="AM57" s="586"/>
      <c r="AN57" s="586"/>
      <c r="AO57" s="586"/>
      <c r="AP57" s="587"/>
      <c r="AQ57" s="583">
        <f t="shared" si="2"/>
        <v>108213.3768</v>
      </c>
      <c r="AR57" s="583"/>
      <c r="AS57" s="583"/>
      <c r="AT57" s="583"/>
      <c r="AU57" s="583"/>
      <c r="AV57" s="583"/>
      <c r="AW57" s="583"/>
      <c r="AX57" s="583"/>
      <c r="AY57" s="588"/>
      <c r="AZ57" s="589"/>
      <c r="BA57" s="589"/>
      <c r="BB57" s="589"/>
      <c r="BC57" s="589"/>
      <c r="BD57" s="589"/>
      <c r="BE57" s="589"/>
      <c r="BF57" s="590"/>
      <c r="BG57" s="582">
        <f>296.54*10</f>
        <v>2965.4</v>
      </c>
      <c r="BH57" s="582"/>
      <c r="BI57" s="582"/>
      <c r="BJ57" s="582"/>
      <c r="BK57" s="582"/>
      <c r="BL57" s="582"/>
      <c r="BM57" s="582"/>
      <c r="BN57" s="582"/>
      <c r="BO57" s="579">
        <f t="shared" si="0"/>
        <v>14823.75024657534</v>
      </c>
      <c r="BP57" s="580"/>
      <c r="BQ57" s="580"/>
      <c r="BR57" s="580"/>
      <c r="BS57" s="580"/>
      <c r="BT57" s="580"/>
      <c r="BU57" s="580"/>
      <c r="BV57" s="581"/>
      <c r="BW57" s="582"/>
      <c r="BX57" s="582"/>
      <c r="BY57" s="582"/>
      <c r="BZ57" s="582"/>
      <c r="CA57" s="582"/>
      <c r="CB57" s="582"/>
      <c r="CC57" s="582"/>
      <c r="CD57" s="582"/>
      <c r="CE57" s="582"/>
      <c r="CF57" s="582"/>
      <c r="CG57" s="582"/>
      <c r="CH57" s="582"/>
      <c r="CI57" s="582"/>
      <c r="CJ57" s="582"/>
      <c r="CK57" s="582"/>
      <c r="CL57" s="582"/>
      <c r="CM57" s="582"/>
      <c r="CN57" s="582">
        <f t="shared" ref="CN57:CN64" si="7">400*24</f>
        <v>9600</v>
      </c>
      <c r="CO57" s="582"/>
      <c r="CP57" s="582"/>
      <c r="CQ57" s="582"/>
      <c r="CR57" s="582"/>
      <c r="CS57" s="582"/>
      <c r="CT57" s="582"/>
      <c r="CU57" s="582"/>
      <c r="CV57" s="583">
        <f t="shared" si="1"/>
        <v>135602.52704657533</v>
      </c>
      <c r="CW57" s="583"/>
      <c r="CX57" s="583"/>
      <c r="CY57" s="583"/>
      <c r="CZ57" s="583"/>
      <c r="DA57" s="583"/>
      <c r="DB57" s="583"/>
      <c r="DC57" s="583"/>
      <c r="DD57" s="583"/>
      <c r="DE57" s="584"/>
    </row>
    <row r="58" spans="1:121" s="2" customFormat="1" ht="23.25" customHeight="1">
      <c r="A58" s="554" t="s">
        <v>1198</v>
      </c>
      <c r="B58" s="555"/>
      <c r="C58" s="555"/>
      <c r="D58" s="555"/>
      <c r="E58" s="555"/>
      <c r="F58" s="555"/>
      <c r="G58" s="555"/>
      <c r="H58" s="555"/>
      <c r="I58" s="555"/>
      <c r="J58" s="555"/>
      <c r="K58" s="555"/>
      <c r="L58" s="555"/>
      <c r="M58" s="555"/>
      <c r="N58" s="555"/>
      <c r="O58" s="556"/>
      <c r="P58" s="557" t="s">
        <v>1195</v>
      </c>
      <c r="Q58" s="557"/>
      <c r="R58" s="557"/>
      <c r="S58" s="557"/>
      <c r="T58" s="557"/>
      <c r="U58" s="557"/>
      <c r="V58" s="557"/>
      <c r="W58" s="557"/>
      <c r="X58" s="557"/>
      <c r="Y58" s="557"/>
      <c r="Z58" s="557"/>
      <c r="AA58" s="557"/>
      <c r="AB58" s="557"/>
      <c r="AC58" s="557"/>
      <c r="AD58" s="558"/>
      <c r="AE58" s="558"/>
      <c r="AF58" s="558"/>
      <c r="AG58" s="559">
        <v>1</v>
      </c>
      <c r="AH58" s="559"/>
      <c r="AI58" s="559"/>
      <c r="AJ58" s="559"/>
      <c r="AK58" s="585">
        <f>296.54*30.41</f>
        <v>9017.7813999999998</v>
      </c>
      <c r="AL58" s="586"/>
      <c r="AM58" s="586"/>
      <c r="AN58" s="586"/>
      <c r="AO58" s="586"/>
      <c r="AP58" s="587"/>
      <c r="AQ58" s="583">
        <f t="shared" si="2"/>
        <v>108213.3768</v>
      </c>
      <c r="AR58" s="583"/>
      <c r="AS58" s="583"/>
      <c r="AT58" s="583"/>
      <c r="AU58" s="583"/>
      <c r="AV58" s="583"/>
      <c r="AW58" s="583"/>
      <c r="AX58" s="583"/>
      <c r="AY58" s="588"/>
      <c r="AZ58" s="589"/>
      <c r="BA58" s="589"/>
      <c r="BB58" s="589"/>
      <c r="BC58" s="589"/>
      <c r="BD58" s="589"/>
      <c r="BE58" s="589"/>
      <c r="BF58" s="590"/>
      <c r="BG58" s="582">
        <f>296.54*10</f>
        <v>2965.4</v>
      </c>
      <c r="BH58" s="582"/>
      <c r="BI58" s="582"/>
      <c r="BJ58" s="582"/>
      <c r="BK58" s="582"/>
      <c r="BL58" s="582"/>
      <c r="BM58" s="582"/>
      <c r="BN58" s="582"/>
      <c r="BO58" s="579">
        <f t="shared" si="0"/>
        <v>14823.75024657534</v>
      </c>
      <c r="BP58" s="580"/>
      <c r="BQ58" s="580"/>
      <c r="BR58" s="580"/>
      <c r="BS58" s="580"/>
      <c r="BT58" s="580"/>
      <c r="BU58" s="580"/>
      <c r="BV58" s="581"/>
      <c r="BW58" s="582"/>
      <c r="BX58" s="582"/>
      <c r="BY58" s="582"/>
      <c r="BZ58" s="582"/>
      <c r="CA58" s="582"/>
      <c r="CB58" s="582"/>
      <c r="CC58" s="582"/>
      <c r="CD58" s="582"/>
      <c r="CE58" s="582"/>
      <c r="CF58" s="582"/>
      <c r="CG58" s="582"/>
      <c r="CH58" s="582"/>
      <c r="CI58" s="582"/>
      <c r="CJ58" s="582"/>
      <c r="CK58" s="582"/>
      <c r="CL58" s="582"/>
      <c r="CM58" s="582"/>
      <c r="CN58" s="582">
        <f t="shared" si="7"/>
        <v>9600</v>
      </c>
      <c r="CO58" s="582"/>
      <c r="CP58" s="582"/>
      <c r="CQ58" s="582"/>
      <c r="CR58" s="582"/>
      <c r="CS58" s="582"/>
      <c r="CT58" s="582"/>
      <c r="CU58" s="582"/>
      <c r="CV58" s="583">
        <f t="shared" si="1"/>
        <v>135602.52704657533</v>
      </c>
      <c r="CW58" s="583"/>
      <c r="CX58" s="583"/>
      <c r="CY58" s="583"/>
      <c r="CZ58" s="583"/>
      <c r="DA58" s="583"/>
      <c r="DB58" s="583"/>
      <c r="DC58" s="583"/>
      <c r="DD58" s="583"/>
      <c r="DE58" s="584"/>
    </row>
    <row r="59" spans="1:121" s="2" customFormat="1" ht="23.25" customHeight="1">
      <c r="A59" s="554" t="s">
        <v>1199</v>
      </c>
      <c r="B59" s="555"/>
      <c r="C59" s="555"/>
      <c r="D59" s="555"/>
      <c r="E59" s="555"/>
      <c r="F59" s="555"/>
      <c r="G59" s="555"/>
      <c r="H59" s="555"/>
      <c r="I59" s="555"/>
      <c r="J59" s="555"/>
      <c r="K59" s="555"/>
      <c r="L59" s="555"/>
      <c r="M59" s="555"/>
      <c r="N59" s="555"/>
      <c r="O59" s="556"/>
      <c r="P59" s="557" t="s">
        <v>1195</v>
      </c>
      <c r="Q59" s="557"/>
      <c r="R59" s="557"/>
      <c r="S59" s="557"/>
      <c r="T59" s="557"/>
      <c r="U59" s="557"/>
      <c r="V59" s="557"/>
      <c r="W59" s="557"/>
      <c r="X59" s="557"/>
      <c r="Y59" s="557"/>
      <c r="Z59" s="557"/>
      <c r="AA59" s="557"/>
      <c r="AB59" s="557"/>
      <c r="AC59" s="557"/>
      <c r="AD59" s="558"/>
      <c r="AE59" s="558"/>
      <c r="AF59" s="558"/>
      <c r="AG59" s="559">
        <v>1</v>
      </c>
      <c r="AH59" s="559"/>
      <c r="AI59" s="559"/>
      <c r="AJ59" s="559"/>
      <c r="AK59" s="585">
        <f>250.29*30.41</f>
        <v>7611.3189000000002</v>
      </c>
      <c r="AL59" s="586"/>
      <c r="AM59" s="586"/>
      <c r="AN59" s="586"/>
      <c r="AO59" s="586"/>
      <c r="AP59" s="587"/>
      <c r="AQ59" s="583">
        <f t="shared" si="2"/>
        <v>91335.82680000001</v>
      </c>
      <c r="AR59" s="583"/>
      <c r="AS59" s="583"/>
      <c r="AT59" s="583"/>
      <c r="AU59" s="583"/>
      <c r="AV59" s="583"/>
      <c r="AW59" s="583"/>
      <c r="AX59" s="583"/>
      <c r="AY59" s="588"/>
      <c r="AZ59" s="589"/>
      <c r="BA59" s="589"/>
      <c r="BB59" s="589"/>
      <c r="BC59" s="589"/>
      <c r="BD59" s="589"/>
      <c r="BE59" s="589"/>
      <c r="BF59" s="590"/>
      <c r="BG59" s="582">
        <f>250.29*10</f>
        <v>2502.9</v>
      </c>
      <c r="BH59" s="582"/>
      <c r="BI59" s="582"/>
      <c r="BJ59" s="582"/>
      <c r="BK59" s="582"/>
      <c r="BL59" s="582"/>
      <c r="BM59" s="582"/>
      <c r="BN59" s="582"/>
      <c r="BO59" s="579">
        <f t="shared" si="0"/>
        <v>12511.757095890413</v>
      </c>
      <c r="BP59" s="580"/>
      <c r="BQ59" s="580"/>
      <c r="BR59" s="580"/>
      <c r="BS59" s="580"/>
      <c r="BT59" s="580"/>
      <c r="BU59" s="580"/>
      <c r="BV59" s="581"/>
      <c r="BW59" s="582"/>
      <c r="BX59" s="582"/>
      <c r="BY59" s="582"/>
      <c r="BZ59" s="582"/>
      <c r="CA59" s="582"/>
      <c r="CB59" s="582"/>
      <c r="CC59" s="582"/>
      <c r="CD59" s="582"/>
      <c r="CE59" s="582"/>
      <c r="CF59" s="582"/>
      <c r="CG59" s="582"/>
      <c r="CH59" s="582"/>
      <c r="CI59" s="582"/>
      <c r="CJ59" s="582"/>
      <c r="CK59" s="582"/>
      <c r="CL59" s="582"/>
      <c r="CM59" s="582"/>
      <c r="CN59" s="582">
        <f t="shared" si="7"/>
        <v>9600</v>
      </c>
      <c r="CO59" s="582"/>
      <c r="CP59" s="582"/>
      <c r="CQ59" s="582"/>
      <c r="CR59" s="582"/>
      <c r="CS59" s="582"/>
      <c r="CT59" s="582"/>
      <c r="CU59" s="582"/>
      <c r="CV59" s="583">
        <f t="shared" si="1"/>
        <v>115950.48389589041</v>
      </c>
      <c r="CW59" s="583"/>
      <c r="CX59" s="583"/>
      <c r="CY59" s="583"/>
      <c r="CZ59" s="583"/>
      <c r="DA59" s="583"/>
      <c r="DB59" s="583"/>
      <c r="DC59" s="583"/>
      <c r="DD59" s="583"/>
      <c r="DE59" s="584"/>
    </row>
    <row r="60" spans="1:121" s="2" customFormat="1" ht="23.25" customHeight="1">
      <c r="A60" s="554" t="s">
        <v>1200</v>
      </c>
      <c r="B60" s="555"/>
      <c r="C60" s="555"/>
      <c r="D60" s="555"/>
      <c r="E60" s="555"/>
      <c r="F60" s="555"/>
      <c r="G60" s="555"/>
      <c r="H60" s="555"/>
      <c r="I60" s="555"/>
      <c r="J60" s="555"/>
      <c r="K60" s="555"/>
      <c r="L60" s="555"/>
      <c r="M60" s="555"/>
      <c r="N60" s="555"/>
      <c r="O60" s="556"/>
      <c r="P60" s="557" t="s">
        <v>1195</v>
      </c>
      <c r="Q60" s="557"/>
      <c r="R60" s="557"/>
      <c r="S60" s="557"/>
      <c r="T60" s="557"/>
      <c r="U60" s="557"/>
      <c r="V60" s="557"/>
      <c r="W60" s="557"/>
      <c r="X60" s="557"/>
      <c r="Y60" s="557"/>
      <c r="Z60" s="557"/>
      <c r="AA60" s="557"/>
      <c r="AB60" s="557"/>
      <c r="AC60" s="557"/>
      <c r="AD60" s="558"/>
      <c r="AE60" s="558"/>
      <c r="AF60" s="558"/>
      <c r="AG60" s="559">
        <v>1</v>
      </c>
      <c r="AH60" s="559"/>
      <c r="AI60" s="559"/>
      <c r="AJ60" s="559"/>
      <c r="AK60" s="585">
        <f>250.29*30.41</f>
        <v>7611.3189000000002</v>
      </c>
      <c r="AL60" s="586"/>
      <c r="AM60" s="586"/>
      <c r="AN60" s="586"/>
      <c r="AO60" s="586"/>
      <c r="AP60" s="587"/>
      <c r="AQ60" s="583">
        <f t="shared" si="2"/>
        <v>91335.82680000001</v>
      </c>
      <c r="AR60" s="583"/>
      <c r="AS60" s="583"/>
      <c r="AT60" s="583"/>
      <c r="AU60" s="583"/>
      <c r="AV60" s="583"/>
      <c r="AW60" s="583"/>
      <c r="AX60" s="583"/>
      <c r="AY60" s="588"/>
      <c r="AZ60" s="589"/>
      <c r="BA60" s="589"/>
      <c r="BB60" s="589"/>
      <c r="BC60" s="589"/>
      <c r="BD60" s="589"/>
      <c r="BE60" s="589"/>
      <c r="BF60" s="590"/>
      <c r="BG60" s="582">
        <f>250.29*10</f>
        <v>2502.9</v>
      </c>
      <c r="BH60" s="582"/>
      <c r="BI60" s="582"/>
      <c r="BJ60" s="582"/>
      <c r="BK60" s="582"/>
      <c r="BL60" s="582"/>
      <c r="BM60" s="582"/>
      <c r="BN60" s="582"/>
      <c r="BO60" s="579">
        <f t="shared" si="0"/>
        <v>12511.757095890413</v>
      </c>
      <c r="BP60" s="580"/>
      <c r="BQ60" s="580"/>
      <c r="BR60" s="580"/>
      <c r="BS60" s="580"/>
      <c r="BT60" s="580"/>
      <c r="BU60" s="580"/>
      <c r="BV60" s="581"/>
      <c r="BW60" s="582"/>
      <c r="BX60" s="582"/>
      <c r="BY60" s="582"/>
      <c r="BZ60" s="582"/>
      <c r="CA60" s="582"/>
      <c r="CB60" s="582"/>
      <c r="CC60" s="582"/>
      <c r="CD60" s="582"/>
      <c r="CE60" s="582"/>
      <c r="CF60" s="582"/>
      <c r="CG60" s="582"/>
      <c r="CH60" s="582"/>
      <c r="CI60" s="582"/>
      <c r="CJ60" s="582"/>
      <c r="CK60" s="582"/>
      <c r="CL60" s="582"/>
      <c r="CM60" s="582"/>
      <c r="CN60" s="582">
        <f t="shared" si="7"/>
        <v>9600</v>
      </c>
      <c r="CO60" s="582"/>
      <c r="CP60" s="582"/>
      <c r="CQ60" s="582"/>
      <c r="CR60" s="582"/>
      <c r="CS60" s="582"/>
      <c r="CT60" s="582"/>
      <c r="CU60" s="582"/>
      <c r="CV60" s="583">
        <f t="shared" si="1"/>
        <v>115950.48389589041</v>
      </c>
      <c r="CW60" s="583"/>
      <c r="CX60" s="583"/>
      <c r="CY60" s="583"/>
      <c r="CZ60" s="583"/>
      <c r="DA60" s="583"/>
      <c r="DB60" s="583"/>
      <c r="DC60" s="583"/>
      <c r="DD60" s="583"/>
      <c r="DE60" s="584"/>
    </row>
    <row r="61" spans="1:121" s="2" customFormat="1" ht="23.25" customHeight="1">
      <c r="A61" s="554" t="s">
        <v>1201</v>
      </c>
      <c r="B61" s="555"/>
      <c r="C61" s="555"/>
      <c r="D61" s="555"/>
      <c r="E61" s="555"/>
      <c r="F61" s="555"/>
      <c r="G61" s="555"/>
      <c r="H61" s="555"/>
      <c r="I61" s="555"/>
      <c r="J61" s="555"/>
      <c r="K61" s="555"/>
      <c r="L61" s="555"/>
      <c r="M61" s="555"/>
      <c r="N61" s="555"/>
      <c r="O61" s="556"/>
      <c r="P61" s="557" t="s">
        <v>1195</v>
      </c>
      <c r="Q61" s="557"/>
      <c r="R61" s="557"/>
      <c r="S61" s="557"/>
      <c r="T61" s="557"/>
      <c r="U61" s="557"/>
      <c r="V61" s="557"/>
      <c r="W61" s="557"/>
      <c r="X61" s="557"/>
      <c r="Y61" s="557"/>
      <c r="Z61" s="557"/>
      <c r="AA61" s="557"/>
      <c r="AB61" s="557"/>
      <c r="AC61" s="557"/>
      <c r="AD61" s="558"/>
      <c r="AE61" s="558"/>
      <c r="AF61" s="558"/>
      <c r="AG61" s="559">
        <v>1</v>
      </c>
      <c r="AH61" s="559"/>
      <c r="AI61" s="559"/>
      <c r="AJ61" s="559"/>
      <c r="AK61" s="585">
        <f>250.29*30.41</f>
        <v>7611.3189000000002</v>
      </c>
      <c r="AL61" s="586"/>
      <c r="AM61" s="586"/>
      <c r="AN61" s="586"/>
      <c r="AO61" s="586"/>
      <c r="AP61" s="587"/>
      <c r="AQ61" s="583">
        <f t="shared" si="2"/>
        <v>91335.82680000001</v>
      </c>
      <c r="AR61" s="583"/>
      <c r="AS61" s="583"/>
      <c r="AT61" s="583"/>
      <c r="AU61" s="583"/>
      <c r="AV61" s="583"/>
      <c r="AW61" s="583"/>
      <c r="AX61" s="583"/>
      <c r="AY61" s="588"/>
      <c r="AZ61" s="589"/>
      <c r="BA61" s="589"/>
      <c r="BB61" s="589"/>
      <c r="BC61" s="589"/>
      <c r="BD61" s="589"/>
      <c r="BE61" s="589"/>
      <c r="BF61" s="590"/>
      <c r="BG61" s="582">
        <f>250.29*10</f>
        <v>2502.9</v>
      </c>
      <c r="BH61" s="582"/>
      <c r="BI61" s="582"/>
      <c r="BJ61" s="582"/>
      <c r="BK61" s="582"/>
      <c r="BL61" s="582"/>
      <c r="BM61" s="582"/>
      <c r="BN61" s="582"/>
      <c r="BO61" s="579">
        <f t="shared" si="0"/>
        <v>12511.757095890413</v>
      </c>
      <c r="BP61" s="580"/>
      <c r="BQ61" s="580"/>
      <c r="BR61" s="580"/>
      <c r="BS61" s="580"/>
      <c r="BT61" s="580"/>
      <c r="BU61" s="580"/>
      <c r="BV61" s="581"/>
      <c r="BW61" s="582"/>
      <c r="BX61" s="582"/>
      <c r="BY61" s="582"/>
      <c r="BZ61" s="582"/>
      <c r="CA61" s="582"/>
      <c r="CB61" s="582"/>
      <c r="CC61" s="582"/>
      <c r="CD61" s="582"/>
      <c r="CE61" s="582"/>
      <c r="CF61" s="582"/>
      <c r="CG61" s="582"/>
      <c r="CH61" s="582"/>
      <c r="CI61" s="582"/>
      <c r="CJ61" s="582"/>
      <c r="CK61" s="582"/>
      <c r="CL61" s="582"/>
      <c r="CM61" s="582"/>
      <c r="CN61" s="582">
        <f t="shared" si="7"/>
        <v>9600</v>
      </c>
      <c r="CO61" s="582"/>
      <c r="CP61" s="582"/>
      <c r="CQ61" s="582"/>
      <c r="CR61" s="582"/>
      <c r="CS61" s="582"/>
      <c r="CT61" s="582"/>
      <c r="CU61" s="582"/>
      <c r="CV61" s="583">
        <f t="shared" si="1"/>
        <v>115950.48389589041</v>
      </c>
      <c r="CW61" s="583"/>
      <c r="CX61" s="583"/>
      <c r="CY61" s="583"/>
      <c r="CZ61" s="583"/>
      <c r="DA61" s="583"/>
      <c r="DB61" s="583"/>
      <c r="DC61" s="583"/>
      <c r="DD61" s="583"/>
      <c r="DE61" s="584"/>
    </row>
    <row r="62" spans="1:121" s="2" customFormat="1" ht="23.25" customHeight="1">
      <c r="A62" s="597" t="s">
        <v>1202</v>
      </c>
      <c r="B62" s="598"/>
      <c r="C62" s="598"/>
      <c r="D62" s="598"/>
      <c r="E62" s="598"/>
      <c r="F62" s="598"/>
      <c r="G62" s="598"/>
      <c r="H62" s="598"/>
      <c r="I62" s="598"/>
      <c r="J62" s="598"/>
      <c r="K62" s="598"/>
      <c r="L62" s="598"/>
      <c r="M62" s="598"/>
      <c r="N62" s="598"/>
      <c r="O62" s="598"/>
      <c r="P62" s="557" t="s">
        <v>1195</v>
      </c>
      <c r="Q62" s="557"/>
      <c r="R62" s="557"/>
      <c r="S62" s="557"/>
      <c r="T62" s="557"/>
      <c r="U62" s="557"/>
      <c r="V62" s="557"/>
      <c r="W62" s="557"/>
      <c r="X62" s="557"/>
      <c r="Y62" s="557"/>
      <c r="Z62" s="557"/>
      <c r="AA62" s="557"/>
      <c r="AB62" s="557"/>
      <c r="AC62" s="557"/>
      <c r="AD62" s="558"/>
      <c r="AE62" s="558"/>
      <c r="AF62" s="558"/>
      <c r="AG62" s="559">
        <v>1</v>
      </c>
      <c r="AH62" s="559"/>
      <c r="AI62" s="559"/>
      <c r="AJ62" s="559"/>
      <c r="AK62" s="585">
        <f>250.29*30.41</f>
        <v>7611.3189000000002</v>
      </c>
      <c r="AL62" s="586"/>
      <c r="AM62" s="586"/>
      <c r="AN62" s="586"/>
      <c r="AO62" s="586"/>
      <c r="AP62" s="587"/>
      <c r="AQ62" s="583">
        <f t="shared" si="2"/>
        <v>91335.82680000001</v>
      </c>
      <c r="AR62" s="583"/>
      <c r="AS62" s="583"/>
      <c r="AT62" s="583"/>
      <c r="AU62" s="583"/>
      <c r="AV62" s="583"/>
      <c r="AW62" s="583"/>
      <c r="AX62" s="583"/>
      <c r="AY62" s="588"/>
      <c r="AZ62" s="589"/>
      <c r="BA62" s="589"/>
      <c r="BB62" s="589"/>
      <c r="BC62" s="589"/>
      <c r="BD62" s="589"/>
      <c r="BE62" s="589"/>
      <c r="BF62" s="590"/>
      <c r="BG62" s="582">
        <f>250.29*10</f>
        <v>2502.9</v>
      </c>
      <c r="BH62" s="582"/>
      <c r="BI62" s="582"/>
      <c r="BJ62" s="582"/>
      <c r="BK62" s="582"/>
      <c r="BL62" s="582"/>
      <c r="BM62" s="582"/>
      <c r="BN62" s="582"/>
      <c r="BO62" s="579">
        <f t="shared" si="0"/>
        <v>12511.757095890413</v>
      </c>
      <c r="BP62" s="580"/>
      <c r="BQ62" s="580"/>
      <c r="BR62" s="580"/>
      <c r="BS62" s="580"/>
      <c r="BT62" s="580"/>
      <c r="BU62" s="580"/>
      <c r="BV62" s="581"/>
      <c r="BW62" s="582"/>
      <c r="BX62" s="582"/>
      <c r="BY62" s="582"/>
      <c r="BZ62" s="582"/>
      <c r="CA62" s="582"/>
      <c r="CB62" s="582"/>
      <c r="CC62" s="582"/>
      <c r="CD62" s="582"/>
      <c r="CE62" s="582"/>
      <c r="CF62" s="582"/>
      <c r="CG62" s="582"/>
      <c r="CH62" s="582"/>
      <c r="CI62" s="582"/>
      <c r="CJ62" s="582"/>
      <c r="CK62" s="582"/>
      <c r="CL62" s="582"/>
      <c r="CM62" s="582"/>
      <c r="CN62" s="582">
        <f t="shared" si="7"/>
        <v>9600</v>
      </c>
      <c r="CO62" s="582"/>
      <c r="CP62" s="582"/>
      <c r="CQ62" s="582"/>
      <c r="CR62" s="582"/>
      <c r="CS62" s="582"/>
      <c r="CT62" s="582"/>
      <c r="CU62" s="582"/>
      <c r="CV62" s="583">
        <f t="shared" si="1"/>
        <v>115950.48389589041</v>
      </c>
      <c r="CW62" s="583"/>
      <c r="CX62" s="583"/>
      <c r="CY62" s="583"/>
      <c r="CZ62" s="583"/>
      <c r="DA62" s="583"/>
      <c r="DB62" s="583"/>
      <c r="DC62" s="583"/>
      <c r="DD62" s="583"/>
      <c r="DE62" s="584"/>
      <c r="DI62" s="604"/>
      <c r="DJ62" s="605"/>
      <c r="DK62" s="605"/>
      <c r="DL62" s="605"/>
      <c r="DM62" s="605"/>
      <c r="DN62" s="605"/>
      <c r="DO62" s="605"/>
      <c r="DP62" s="605"/>
      <c r="DQ62" s="605"/>
    </row>
    <row r="63" spans="1:121" s="2" customFormat="1" ht="23.25" customHeight="1">
      <c r="A63" s="597" t="s">
        <v>1203</v>
      </c>
      <c r="B63" s="598"/>
      <c r="C63" s="598"/>
      <c r="D63" s="598"/>
      <c r="E63" s="598"/>
      <c r="F63" s="598"/>
      <c r="G63" s="598"/>
      <c r="H63" s="598"/>
      <c r="I63" s="598"/>
      <c r="J63" s="598"/>
      <c r="K63" s="598"/>
      <c r="L63" s="598"/>
      <c r="M63" s="598"/>
      <c r="N63" s="598"/>
      <c r="O63" s="598"/>
      <c r="P63" s="557" t="s">
        <v>1195</v>
      </c>
      <c r="Q63" s="557"/>
      <c r="R63" s="557"/>
      <c r="S63" s="557"/>
      <c r="T63" s="557"/>
      <c r="U63" s="557"/>
      <c r="V63" s="557"/>
      <c r="W63" s="557"/>
      <c r="X63" s="557"/>
      <c r="Y63" s="557"/>
      <c r="Z63" s="557"/>
      <c r="AA63" s="557"/>
      <c r="AB63" s="557"/>
      <c r="AC63" s="557"/>
      <c r="AD63" s="558"/>
      <c r="AE63" s="558"/>
      <c r="AF63" s="558"/>
      <c r="AG63" s="559">
        <v>1</v>
      </c>
      <c r="AH63" s="559"/>
      <c r="AI63" s="559"/>
      <c r="AJ63" s="559"/>
      <c r="AK63" s="585">
        <f>296.54*30.41</f>
        <v>9017.7813999999998</v>
      </c>
      <c r="AL63" s="586"/>
      <c r="AM63" s="586"/>
      <c r="AN63" s="586"/>
      <c r="AO63" s="586"/>
      <c r="AP63" s="587"/>
      <c r="AQ63" s="583">
        <f t="shared" si="2"/>
        <v>108213.3768</v>
      </c>
      <c r="AR63" s="583"/>
      <c r="AS63" s="583"/>
      <c r="AT63" s="583"/>
      <c r="AU63" s="583"/>
      <c r="AV63" s="583"/>
      <c r="AW63" s="583"/>
      <c r="AX63" s="583"/>
      <c r="AY63" s="588"/>
      <c r="AZ63" s="589"/>
      <c r="BA63" s="589"/>
      <c r="BB63" s="589"/>
      <c r="BC63" s="589"/>
      <c r="BD63" s="589"/>
      <c r="BE63" s="589"/>
      <c r="BF63" s="590"/>
      <c r="BG63" s="582">
        <f>296.54*10</f>
        <v>2965.4</v>
      </c>
      <c r="BH63" s="582"/>
      <c r="BI63" s="582"/>
      <c r="BJ63" s="582"/>
      <c r="BK63" s="582"/>
      <c r="BL63" s="582"/>
      <c r="BM63" s="582"/>
      <c r="BN63" s="582"/>
      <c r="BO63" s="579">
        <f t="shared" si="0"/>
        <v>14823.75024657534</v>
      </c>
      <c r="BP63" s="580"/>
      <c r="BQ63" s="580"/>
      <c r="BR63" s="580"/>
      <c r="BS63" s="580"/>
      <c r="BT63" s="580"/>
      <c r="BU63" s="580"/>
      <c r="BV63" s="581"/>
      <c r="BW63" s="582"/>
      <c r="BX63" s="582"/>
      <c r="BY63" s="582"/>
      <c r="BZ63" s="582"/>
      <c r="CA63" s="582"/>
      <c r="CB63" s="582"/>
      <c r="CC63" s="582"/>
      <c r="CD63" s="582"/>
      <c r="CE63" s="582"/>
      <c r="CF63" s="582"/>
      <c r="CG63" s="582"/>
      <c r="CH63" s="582"/>
      <c r="CI63" s="582"/>
      <c r="CJ63" s="582"/>
      <c r="CK63" s="582"/>
      <c r="CL63" s="582"/>
      <c r="CM63" s="582"/>
      <c r="CN63" s="582">
        <f t="shared" si="7"/>
        <v>9600</v>
      </c>
      <c r="CO63" s="582"/>
      <c r="CP63" s="582"/>
      <c r="CQ63" s="582"/>
      <c r="CR63" s="582"/>
      <c r="CS63" s="582"/>
      <c r="CT63" s="582"/>
      <c r="CU63" s="582"/>
      <c r="CV63" s="583">
        <f t="shared" si="1"/>
        <v>135602.52704657533</v>
      </c>
      <c r="CW63" s="583"/>
      <c r="CX63" s="583"/>
      <c r="CY63" s="583"/>
      <c r="CZ63" s="583"/>
      <c r="DA63" s="583"/>
      <c r="DB63" s="583"/>
      <c r="DC63" s="583"/>
      <c r="DD63" s="583"/>
      <c r="DE63" s="584"/>
    </row>
    <row r="64" spans="1:121" s="2" customFormat="1" ht="23.25" customHeight="1">
      <c r="A64" s="597" t="s">
        <v>1204</v>
      </c>
      <c r="B64" s="598"/>
      <c r="C64" s="598"/>
      <c r="D64" s="598"/>
      <c r="E64" s="598"/>
      <c r="F64" s="598"/>
      <c r="G64" s="598"/>
      <c r="H64" s="598"/>
      <c r="I64" s="598"/>
      <c r="J64" s="598"/>
      <c r="K64" s="598"/>
      <c r="L64" s="598"/>
      <c r="M64" s="598"/>
      <c r="N64" s="598"/>
      <c r="O64" s="598"/>
      <c r="P64" s="557" t="s">
        <v>1195</v>
      </c>
      <c r="Q64" s="557"/>
      <c r="R64" s="557"/>
      <c r="S64" s="557"/>
      <c r="T64" s="557"/>
      <c r="U64" s="557"/>
      <c r="V64" s="557"/>
      <c r="W64" s="557"/>
      <c r="X64" s="557"/>
      <c r="Y64" s="557"/>
      <c r="Z64" s="557"/>
      <c r="AA64" s="557"/>
      <c r="AB64" s="557"/>
      <c r="AC64" s="557"/>
      <c r="AD64" s="558"/>
      <c r="AE64" s="558"/>
      <c r="AF64" s="558"/>
      <c r="AG64" s="559">
        <v>1</v>
      </c>
      <c r="AH64" s="559"/>
      <c r="AI64" s="559"/>
      <c r="AJ64" s="559"/>
      <c r="AK64" s="585">
        <f>203.32*30.41</f>
        <v>6182.9611999999997</v>
      </c>
      <c r="AL64" s="586"/>
      <c r="AM64" s="586"/>
      <c r="AN64" s="586"/>
      <c r="AO64" s="586"/>
      <c r="AP64" s="587"/>
      <c r="AQ64" s="583">
        <f t="shared" si="2"/>
        <v>74195.534400000004</v>
      </c>
      <c r="AR64" s="583"/>
      <c r="AS64" s="583"/>
      <c r="AT64" s="583"/>
      <c r="AU64" s="583"/>
      <c r="AV64" s="583"/>
      <c r="AW64" s="583"/>
      <c r="AX64" s="583"/>
      <c r="AY64" s="588"/>
      <c r="AZ64" s="589"/>
      <c r="BA64" s="589"/>
      <c r="BB64" s="589"/>
      <c r="BC64" s="589"/>
      <c r="BD64" s="589"/>
      <c r="BE64" s="589"/>
      <c r="BF64" s="590"/>
      <c r="BG64" s="582">
        <f>203.32*10</f>
        <v>2033.1999999999998</v>
      </c>
      <c r="BH64" s="582"/>
      <c r="BI64" s="582"/>
      <c r="BJ64" s="582"/>
      <c r="BK64" s="582"/>
      <c r="BL64" s="582"/>
      <c r="BM64" s="582"/>
      <c r="BN64" s="582"/>
      <c r="BO64" s="579">
        <f t="shared" si="0"/>
        <v>10163.771835616439</v>
      </c>
      <c r="BP64" s="580"/>
      <c r="BQ64" s="580"/>
      <c r="BR64" s="580"/>
      <c r="BS64" s="580"/>
      <c r="BT64" s="580"/>
      <c r="BU64" s="580"/>
      <c r="BV64" s="581"/>
      <c r="BW64" s="582"/>
      <c r="BX64" s="582"/>
      <c r="BY64" s="582"/>
      <c r="BZ64" s="582"/>
      <c r="CA64" s="582"/>
      <c r="CB64" s="582"/>
      <c r="CC64" s="582"/>
      <c r="CD64" s="582"/>
      <c r="CE64" s="582"/>
      <c r="CF64" s="582"/>
      <c r="CG64" s="582"/>
      <c r="CH64" s="582"/>
      <c r="CI64" s="582"/>
      <c r="CJ64" s="582"/>
      <c r="CK64" s="582"/>
      <c r="CL64" s="582"/>
      <c r="CM64" s="582"/>
      <c r="CN64" s="582">
        <f t="shared" si="7"/>
        <v>9600</v>
      </c>
      <c r="CO64" s="582"/>
      <c r="CP64" s="582"/>
      <c r="CQ64" s="582"/>
      <c r="CR64" s="582"/>
      <c r="CS64" s="582"/>
      <c r="CT64" s="582"/>
      <c r="CU64" s="582"/>
      <c r="CV64" s="583">
        <f t="shared" si="1"/>
        <v>95992.506235616442</v>
      </c>
      <c r="CW64" s="583"/>
      <c r="CX64" s="583"/>
      <c r="CY64" s="583"/>
      <c r="CZ64" s="583"/>
      <c r="DA64" s="583"/>
      <c r="DB64" s="583"/>
      <c r="DC64" s="583"/>
      <c r="DD64" s="583"/>
      <c r="DE64" s="584"/>
    </row>
    <row r="65" spans="1:109" s="2" customFormat="1" ht="23.25" customHeight="1">
      <c r="A65" s="597" t="s">
        <v>1205</v>
      </c>
      <c r="B65" s="598"/>
      <c r="C65" s="598"/>
      <c r="D65" s="598"/>
      <c r="E65" s="598"/>
      <c r="F65" s="598"/>
      <c r="G65" s="598"/>
      <c r="H65" s="598"/>
      <c r="I65" s="598"/>
      <c r="J65" s="598"/>
      <c r="K65" s="598"/>
      <c r="L65" s="598"/>
      <c r="M65" s="598"/>
      <c r="N65" s="598"/>
      <c r="O65" s="598"/>
      <c r="P65" s="557" t="s">
        <v>1206</v>
      </c>
      <c r="Q65" s="557"/>
      <c r="R65" s="557"/>
      <c r="S65" s="557"/>
      <c r="T65" s="557"/>
      <c r="U65" s="557"/>
      <c r="V65" s="557"/>
      <c r="W65" s="557"/>
      <c r="X65" s="557"/>
      <c r="Y65" s="557"/>
      <c r="Z65" s="557"/>
      <c r="AA65" s="557"/>
      <c r="AB65" s="557"/>
      <c r="AC65" s="557"/>
      <c r="AD65" s="558"/>
      <c r="AE65" s="558"/>
      <c r="AF65" s="558"/>
      <c r="AG65" s="559">
        <v>1</v>
      </c>
      <c r="AH65" s="559"/>
      <c r="AI65" s="559"/>
      <c r="AJ65" s="559"/>
      <c r="AK65" s="585">
        <f>594.67*30.41</f>
        <v>18083.914699999998</v>
      </c>
      <c r="AL65" s="586"/>
      <c r="AM65" s="586"/>
      <c r="AN65" s="586"/>
      <c r="AO65" s="586"/>
      <c r="AP65" s="587"/>
      <c r="AQ65" s="583">
        <f t="shared" si="2"/>
        <v>217006.97639999999</v>
      </c>
      <c r="AR65" s="583"/>
      <c r="AS65" s="583"/>
      <c r="AT65" s="583"/>
      <c r="AU65" s="583"/>
      <c r="AV65" s="583"/>
      <c r="AW65" s="583"/>
      <c r="AX65" s="583"/>
      <c r="AY65" s="588"/>
      <c r="AZ65" s="589"/>
      <c r="BA65" s="589"/>
      <c r="BB65" s="589"/>
      <c r="BC65" s="589"/>
      <c r="BD65" s="589"/>
      <c r="BE65" s="589"/>
      <c r="BF65" s="590"/>
      <c r="BG65" s="582">
        <f>594.67*10</f>
        <v>5946.7</v>
      </c>
      <c r="BH65" s="582"/>
      <c r="BI65" s="582"/>
      <c r="BJ65" s="582"/>
      <c r="BK65" s="582"/>
      <c r="BL65" s="582"/>
      <c r="BM65" s="582"/>
      <c r="BN65" s="582"/>
      <c r="BO65" s="579">
        <f t="shared" si="0"/>
        <v>29726.983068493148</v>
      </c>
      <c r="BP65" s="580"/>
      <c r="BQ65" s="580"/>
      <c r="BR65" s="580"/>
      <c r="BS65" s="580"/>
      <c r="BT65" s="580"/>
      <c r="BU65" s="580"/>
      <c r="BV65" s="581"/>
      <c r="BW65" s="582"/>
      <c r="BX65" s="582"/>
      <c r="BY65" s="582"/>
      <c r="BZ65" s="582"/>
      <c r="CA65" s="582"/>
      <c r="CB65" s="582"/>
      <c r="CC65" s="582"/>
      <c r="CD65" s="582"/>
      <c r="CE65" s="582"/>
      <c r="CF65" s="582"/>
      <c r="CG65" s="582"/>
      <c r="CH65" s="582"/>
      <c r="CI65" s="582"/>
      <c r="CJ65" s="582"/>
      <c r="CK65" s="582"/>
      <c r="CL65" s="582"/>
      <c r="CM65" s="582"/>
      <c r="CN65" s="582"/>
      <c r="CO65" s="582"/>
      <c r="CP65" s="582"/>
      <c r="CQ65" s="582"/>
      <c r="CR65" s="582"/>
      <c r="CS65" s="582"/>
      <c r="CT65" s="582"/>
      <c r="CU65" s="582"/>
      <c r="CV65" s="583">
        <f t="shared" si="1"/>
        <v>252680.65946849313</v>
      </c>
      <c r="CW65" s="583"/>
      <c r="CX65" s="583"/>
      <c r="CY65" s="583"/>
      <c r="CZ65" s="583"/>
      <c r="DA65" s="583"/>
      <c r="DB65" s="583"/>
      <c r="DC65" s="583"/>
      <c r="DD65" s="583"/>
      <c r="DE65" s="584"/>
    </row>
    <row r="66" spans="1:109" s="2" customFormat="1" ht="23.25" customHeight="1">
      <c r="A66" s="597" t="s">
        <v>1143</v>
      </c>
      <c r="B66" s="598"/>
      <c r="C66" s="598"/>
      <c r="D66" s="598"/>
      <c r="E66" s="598"/>
      <c r="F66" s="598"/>
      <c r="G66" s="598"/>
      <c r="H66" s="598"/>
      <c r="I66" s="598"/>
      <c r="J66" s="598"/>
      <c r="K66" s="598"/>
      <c r="L66" s="598"/>
      <c r="M66" s="598"/>
      <c r="N66" s="598"/>
      <c r="O66" s="598"/>
      <c r="P66" s="557" t="s">
        <v>1206</v>
      </c>
      <c r="Q66" s="557"/>
      <c r="R66" s="557"/>
      <c r="S66" s="557"/>
      <c r="T66" s="557"/>
      <c r="U66" s="557"/>
      <c r="V66" s="557"/>
      <c r="W66" s="557"/>
      <c r="X66" s="557"/>
      <c r="Y66" s="557"/>
      <c r="Z66" s="557"/>
      <c r="AA66" s="557"/>
      <c r="AB66" s="557"/>
      <c r="AC66" s="557"/>
      <c r="AD66" s="558"/>
      <c r="AE66" s="558"/>
      <c r="AF66" s="558"/>
      <c r="AG66" s="559">
        <v>1</v>
      </c>
      <c r="AH66" s="559"/>
      <c r="AI66" s="559"/>
      <c r="AJ66" s="559"/>
      <c r="AK66" s="585">
        <f>250.29*30.41</f>
        <v>7611.3189000000002</v>
      </c>
      <c r="AL66" s="586"/>
      <c r="AM66" s="586"/>
      <c r="AN66" s="586"/>
      <c r="AO66" s="586"/>
      <c r="AP66" s="587"/>
      <c r="AQ66" s="583">
        <f t="shared" si="2"/>
        <v>91335.82680000001</v>
      </c>
      <c r="AR66" s="583"/>
      <c r="AS66" s="583"/>
      <c r="AT66" s="583"/>
      <c r="AU66" s="583"/>
      <c r="AV66" s="583"/>
      <c r="AW66" s="583"/>
      <c r="AX66" s="583"/>
      <c r="AY66" s="588"/>
      <c r="AZ66" s="589"/>
      <c r="BA66" s="589"/>
      <c r="BB66" s="589"/>
      <c r="BC66" s="589"/>
      <c r="BD66" s="589"/>
      <c r="BE66" s="589"/>
      <c r="BF66" s="590"/>
      <c r="BG66" s="582">
        <f>250.29*10</f>
        <v>2502.9</v>
      </c>
      <c r="BH66" s="582"/>
      <c r="BI66" s="582"/>
      <c r="BJ66" s="582"/>
      <c r="BK66" s="582"/>
      <c r="BL66" s="582"/>
      <c r="BM66" s="582"/>
      <c r="BN66" s="582"/>
      <c r="BO66" s="579">
        <f t="shared" si="0"/>
        <v>12511.757095890413</v>
      </c>
      <c r="BP66" s="580"/>
      <c r="BQ66" s="580"/>
      <c r="BR66" s="580"/>
      <c r="BS66" s="580"/>
      <c r="BT66" s="580"/>
      <c r="BU66" s="580"/>
      <c r="BV66" s="581"/>
      <c r="BW66" s="582"/>
      <c r="BX66" s="582"/>
      <c r="BY66" s="582"/>
      <c r="BZ66" s="582"/>
      <c r="CA66" s="582"/>
      <c r="CB66" s="582"/>
      <c r="CC66" s="582"/>
      <c r="CD66" s="582"/>
      <c r="CE66" s="582"/>
      <c r="CF66" s="582"/>
      <c r="CG66" s="582"/>
      <c r="CH66" s="582"/>
      <c r="CI66" s="582"/>
      <c r="CJ66" s="582"/>
      <c r="CK66" s="582"/>
      <c r="CL66" s="582"/>
      <c r="CM66" s="582"/>
      <c r="CN66" s="582">
        <f>400*24*AG66</f>
        <v>9600</v>
      </c>
      <c r="CO66" s="582"/>
      <c r="CP66" s="582"/>
      <c r="CQ66" s="582"/>
      <c r="CR66" s="582"/>
      <c r="CS66" s="582"/>
      <c r="CT66" s="582"/>
      <c r="CU66" s="582"/>
      <c r="CV66" s="583">
        <f t="shared" si="1"/>
        <v>115950.48389589041</v>
      </c>
      <c r="CW66" s="583"/>
      <c r="CX66" s="583"/>
      <c r="CY66" s="583"/>
      <c r="CZ66" s="583"/>
      <c r="DA66" s="583"/>
      <c r="DB66" s="583"/>
      <c r="DC66" s="583"/>
      <c r="DD66" s="583"/>
      <c r="DE66" s="584"/>
    </row>
    <row r="67" spans="1:109" s="2" customFormat="1" ht="23.25" customHeight="1">
      <c r="A67" s="597" t="s">
        <v>1207</v>
      </c>
      <c r="B67" s="598"/>
      <c r="C67" s="598"/>
      <c r="D67" s="598"/>
      <c r="E67" s="598"/>
      <c r="F67" s="598"/>
      <c r="G67" s="598"/>
      <c r="H67" s="598"/>
      <c r="I67" s="598"/>
      <c r="J67" s="598"/>
      <c r="K67" s="598"/>
      <c r="L67" s="598"/>
      <c r="M67" s="598"/>
      <c r="N67" s="598"/>
      <c r="O67" s="598"/>
      <c r="P67" s="557" t="s">
        <v>1206</v>
      </c>
      <c r="Q67" s="557"/>
      <c r="R67" s="557"/>
      <c r="S67" s="557"/>
      <c r="T67" s="557"/>
      <c r="U67" s="557"/>
      <c r="V67" s="557"/>
      <c r="W67" s="557"/>
      <c r="X67" s="557"/>
      <c r="Y67" s="557"/>
      <c r="Z67" s="557"/>
      <c r="AA67" s="557"/>
      <c r="AB67" s="557"/>
      <c r="AC67" s="557"/>
      <c r="AD67" s="558"/>
      <c r="AE67" s="558"/>
      <c r="AF67" s="558"/>
      <c r="AG67" s="559">
        <v>4</v>
      </c>
      <c r="AH67" s="559"/>
      <c r="AI67" s="559"/>
      <c r="AJ67" s="559"/>
      <c r="AK67" s="585">
        <f>157.46*30.41</f>
        <v>4788.3586000000005</v>
      </c>
      <c r="AL67" s="586"/>
      <c r="AM67" s="586"/>
      <c r="AN67" s="586"/>
      <c r="AO67" s="586"/>
      <c r="AP67" s="587"/>
      <c r="AQ67" s="583">
        <f t="shared" si="2"/>
        <v>229841.21280000004</v>
      </c>
      <c r="AR67" s="583"/>
      <c r="AS67" s="583"/>
      <c r="AT67" s="583"/>
      <c r="AU67" s="583"/>
      <c r="AV67" s="583"/>
      <c r="AW67" s="583"/>
      <c r="AX67" s="583"/>
      <c r="AY67" s="588"/>
      <c r="AZ67" s="589"/>
      <c r="BA67" s="589"/>
      <c r="BB67" s="589"/>
      <c r="BC67" s="589"/>
      <c r="BD67" s="589"/>
      <c r="BE67" s="589"/>
      <c r="BF67" s="590"/>
      <c r="BG67" s="582">
        <f>157.46*10</f>
        <v>1574.6000000000001</v>
      </c>
      <c r="BH67" s="582"/>
      <c r="BI67" s="582"/>
      <c r="BJ67" s="582"/>
      <c r="BK67" s="582"/>
      <c r="BL67" s="582"/>
      <c r="BM67" s="582"/>
      <c r="BN67" s="582"/>
      <c r="BO67" s="579">
        <f t="shared" si="0"/>
        <v>31485.097643835623</v>
      </c>
      <c r="BP67" s="580"/>
      <c r="BQ67" s="580"/>
      <c r="BR67" s="580"/>
      <c r="BS67" s="580"/>
      <c r="BT67" s="580"/>
      <c r="BU67" s="580"/>
      <c r="BV67" s="581"/>
      <c r="BW67" s="582"/>
      <c r="BX67" s="582"/>
      <c r="BY67" s="582"/>
      <c r="BZ67" s="582"/>
      <c r="CA67" s="582"/>
      <c r="CB67" s="582"/>
      <c r="CC67" s="582"/>
      <c r="CD67" s="582"/>
      <c r="CE67" s="582"/>
      <c r="CF67" s="582"/>
      <c r="CG67" s="582"/>
      <c r="CH67" s="582"/>
      <c r="CI67" s="582"/>
      <c r="CJ67" s="582"/>
      <c r="CK67" s="582"/>
      <c r="CL67" s="582"/>
      <c r="CM67" s="582"/>
      <c r="CN67" s="582">
        <f>400*24*AG67</f>
        <v>38400</v>
      </c>
      <c r="CO67" s="582"/>
      <c r="CP67" s="582"/>
      <c r="CQ67" s="582"/>
      <c r="CR67" s="582"/>
      <c r="CS67" s="582"/>
      <c r="CT67" s="582"/>
      <c r="CU67" s="582"/>
      <c r="CV67" s="583">
        <f t="shared" si="1"/>
        <v>301300.91044383566</v>
      </c>
      <c r="CW67" s="583"/>
      <c r="CX67" s="583"/>
      <c r="CY67" s="583"/>
      <c r="CZ67" s="583"/>
      <c r="DA67" s="583"/>
      <c r="DB67" s="583"/>
      <c r="DC67" s="583"/>
      <c r="DD67" s="583"/>
      <c r="DE67" s="584"/>
    </row>
    <row r="68" spans="1:109" s="2" customFormat="1" ht="23.25" customHeight="1">
      <c r="A68" s="597" t="s">
        <v>1208</v>
      </c>
      <c r="B68" s="598"/>
      <c r="C68" s="598"/>
      <c r="D68" s="598"/>
      <c r="E68" s="598"/>
      <c r="F68" s="598"/>
      <c r="G68" s="598"/>
      <c r="H68" s="598"/>
      <c r="I68" s="598"/>
      <c r="J68" s="598"/>
      <c r="K68" s="598"/>
      <c r="L68" s="598"/>
      <c r="M68" s="598"/>
      <c r="N68" s="598"/>
      <c r="O68" s="598"/>
      <c r="P68" s="557" t="s">
        <v>1209</v>
      </c>
      <c r="Q68" s="557"/>
      <c r="R68" s="557"/>
      <c r="S68" s="557"/>
      <c r="T68" s="557"/>
      <c r="U68" s="557"/>
      <c r="V68" s="557"/>
      <c r="W68" s="557"/>
      <c r="X68" s="557"/>
      <c r="Y68" s="557"/>
      <c r="Z68" s="557"/>
      <c r="AA68" s="557"/>
      <c r="AB68" s="557"/>
      <c r="AC68" s="557"/>
      <c r="AD68" s="558"/>
      <c r="AE68" s="558"/>
      <c r="AF68" s="558"/>
      <c r="AG68" s="559">
        <v>1</v>
      </c>
      <c r="AH68" s="559"/>
      <c r="AI68" s="559"/>
      <c r="AJ68" s="559"/>
      <c r="AK68" s="585">
        <f>594.67*30.41</f>
        <v>18083.914699999998</v>
      </c>
      <c r="AL68" s="586"/>
      <c r="AM68" s="586"/>
      <c r="AN68" s="586"/>
      <c r="AO68" s="586"/>
      <c r="AP68" s="587"/>
      <c r="AQ68" s="583">
        <f t="shared" si="2"/>
        <v>217006.97639999999</v>
      </c>
      <c r="AR68" s="583"/>
      <c r="AS68" s="583"/>
      <c r="AT68" s="583"/>
      <c r="AU68" s="583"/>
      <c r="AV68" s="583"/>
      <c r="AW68" s="583"/>
      <c r="AX68" s="583"/>
      <c r="AY68" s="588"/>
      <c r="AZ68" s="589"/>
      <c r="BA68" s="589"/>
      <c r="BB68" s="589"/>
      <c r="BC68" s="589"/>
      <c r="BD68" s="589"/>
      <c r="BE68" s="589"/>
      <c r="BF68" s="590"/>
      <c r="BG68" s="582">
        <f>594.67*10</f>
        <v>5946.7</v>
      </c>
      <c r="BH68" s="582"/>
      <c r="BI68" s="582"/>
      <c r="BJ68" s="582"/>
      <c r="BK68" s="582"/>
      <c r="BL68" s="582"/>
      <c r="BM68" s="582"/>
      <c r="BN68" s="582"/>
      <c r="BO68" s="579">
        <f t="shared" si="0"/>
        <v>29726.983068493148</v>
      </c>
      <c r="BP68" s="580"/>
      <c r="BQ68" s="580"/>
      <c r="BR68" s="580"/>
      <c r="BS68" s="580"/>
      <c r="BT68" s="580"/>
      <c r="BU68" s="580"/>
      <c r="BV68" s="581"/>
      <c r="BW68" s="582"/>
      <c r="BX68" s="582"/>
      <c r="BY68" s="582"/>
      <c r="BZ68" s="582"/>
      <c r="CA68" s="582"/>
      <c r="CB68" s="582"/>
      <c r="CC68" s="582"/>
      <c r="CD68" s="582"/>
      <c r="CE68" s="582"/>
      <c r="CF68" s="582"/>
      <c r="CG68" s="582"/>
      <c r="CH68" s="582"/>
      <c r="CI68" s="582"/>
      <c r="CJ68" s="582"/>
      <c r="CK68" s="582"/>
      <c r="CL68" s="582"/>
      <c r="CM68" s="582"/>
      <c r="CN68" s="582"/>
      <c r="CO68" s="582"/>
      <c r="CP68" s="582"/>
      <c r="CQ68" s="582"/>
      <c r="CR68" s="582"/>
      <c r="CS68" s="582"/>
      <c r="CT68" s="582"/>
      <c r="CU68" s="582"/>
      <c r="CV68" s="583">
        <f t="shared" si="1"/>
        <v>252680.65946849313</v>
      </c>
      <c r="CW68" s="583"/>
      <c r="CX68" s="583"/>
      <c r="CY68" s="583"/>
      <c r="CZ68" s="583"/>
      <c r="DA68" s="583"/>
      <c r="DB68" s="583"/>
      <c r="DC68" s="583"/>
      <c r="DD68" s="583"/>
      <c r="DE68" s="584"/>
    </row>
    <row r="69" spans="1:109" s="2" customFormat="1" ht="23.25" customHeight="1">
      <c r="A69" s="597" t="s">
        <v>1143</v>
      </c>
      <c r="B69" s="598"/>
      <c r="C69" s="598"/>
      <c r="D69" s="598"/>
      <c r="E69" s="598"/>
      <c r="F69" s="598"/>
      <c r="G69" s="598"/>
      <c r="H69" s="598"/>
      <c r="I69" s="598"/>
      <c r="J69" s="598"/>
      <c r="K69" s="598"/>
      <c r="L69" s="598"/>
      <c r="M69" s="598"/>
      <c r="N69" s="598"/>
      <c r="O69" s="598"/>
      <c r="P69" s="557" t="s">
        <v>1209</v>
      </c>
      <c r="Q69" s="557"/>
      <c r="R69" s="557"/>
      <c r="S69" s="557"/>
      <c r="T69" s="557"/>
      <c r="U69" s="557"/>
      <c r="V69" s="557"/>
      <c r="W69" s="557"/>
      <c r="X69" s="557"/>
      <c r="Y69" s="557"/>
      <c r="Z69" s="557"/>
      <c r="AA69" s="557"/>
      <c r="AB69" s="557"/>
      <c r="AC69" s="557"/>
      <c r="AD69" s="558"/>
      <c r="AE69" s="558"/>
      <c r="AF69" s="558"/>
      <c r="AG69" s="559">
        <v>1</v>
      </c>
      <c r="AH69" s="559"/>
      <c r="AI69" s="559"/>
      <c r="AJ69" s="559"/>
      <c r="AK69" s="585">
        <f>250.29*30.41</f>
        <v>7611.3189000000002</v>
      </c>
      <c r="AL69" s="586"/>
      <c r="AM69" s="586"/>
      <c r="AN69" s="586"/>
      <c r="AO69" s="586"/>
      <c r="AP69" s="587"/>
      <c r="AQ69" s="583">
        <f t="shared" si="2"/>
        <v>91335.82680000001</v>
      </c>
      <c r="AR69" s="583"/>
      <c r="AS69" s="583"/>
      <c r="AT69" s="583"/>
      <c r="AU69" s="583"/>
      <c r="AV69" s="583"/>
      <c r="AW69" s="583"/>
      <c r="AX69" s="583"/>
      <c r="AY69" s="588"/>
      <c r="AZ69" s="589"/>
      <c r="BA69" s="589"/>
      <c r="BB69" s="589"/>
      <c r="BC69" s="589"/>
      <c r="BD69" s="589"/>
      <c r="BE69" s="589"/>
      <c r="BF69" s="590"/>
      <c r="BG69" s="582">
        <f>250.29*10</f>
        <v>2502.9</v>
      </c>
      <c r="BH69" s="582"/>
      <c r="BI69" s="582"/>
      <c r="BJ69" s="582"/>
      <c r="BK69" s="582"/>
      <c r="BL69" s="582"/>
      <c r="BM69" s="582"/>
      <c r="BN69" s="582"/>
      <c r="BO69" s="579">
        <f t="shared" si="0"/>
        <v>12511.757095890413</v>
      </c>
      <c r="BP69" s="580"/>
      <c r="BQ69" s="580"/>
      <c r="BR69" s="580"/>
      <c r="BS69" s="580"/>
      <c r="BT69" s="580"/>
      <c r="BU69" s="580"/>
      <c r="BV69" s="581"/>
      <c r="BW69" s="582"/>
      <c r="BX69" s="582"/>
      <c r="BY69" s="582"/>
      <c r="BZ69" s="582"/>
      <c r="CA69" s="582"/>
      <c r="CB69" s="582"/>
      <c r="CC69" s="582"/>
      <c r="CD69" s="582"/>
      <c r="CE69" s="582"/>
      <c r="CF69" s="582"/>
      <c r="CG69" s="582"/>
      <c r="CH69" s="582"/>
      <c r="CI69" s="582"/>
      <c r="CJ69" s="582"/>
      <c r="CK69" s="582"/>
      <c r="CL69" s="582"/>
      <c r="CM69" s="582"/>
      <c r="CN69" s="582">
        <f>400*24*AG69</f>
        <v>9600</v>
      </c>
      <c r="CO69" s="582"/>
      <c r="CP69" s="582"/>
      <c r="CQ69" s="582"/>
      <c r="CR69" s="582"/>
      <c r="CS69" s="582"/>
      <c r="CT69" s="582"/>
      <c r="CU69" s="582"/>
      <c r="CV69" s="583">
        <f t="shared" si="1"/>
        <v>115950.48389589041</v>
      </c>
      <c r="CW69" s="583"/>
      <c r="CX69" s="583"/>
      <c r="CY69" s="583"/>
      <c r="CZ69" s="583"/>
      <c r="DA69" s="583"/>
      <c r="DB69" s="583"/>
      <c r="DC69" s="583"/>
      <c r="DD69" s="583"/>
      <c r="DE69" s="584"/>
    </row>
    <row r="70" spans="1:109" s="2" customFormat="1" ht="23.25" customHeight="1">
      <c r="A70" s="554" t="s">
        <v>1210</v>
      </c>
      <c r="B70" s="555"/>
      <c r="C70" s="555"/>
      <c r="D70" s="555"/>
      <c r="E70" s="555"/>
      <c r="F70" s="555"/>
      <c r="G70" s="555"/>
      <c r="H70" s="555"/>
      <c r="I70" s="555"/>
      <c r="J70" s="555"/>
      <c r="K70" s="555"/>
      <c r="L70" s="555"/>
      <c r="M70" s="555"/>
      <c r="N70" s="555"/>
      <c r="O70" s="556"/>
      <c r="P70" s="557" t="s">
        <v>1209</v>
      </c>
      <c r="Q70" s="557"/>
      <c r="R70" s="557"/>
      <c r="S70" s="557"/>
      <c r="T70" s="557"/>
      <c r="U70" s="557"/>
      <c r="V70" s="557"/>
      <c r="W70" s="557"/>
      <c r="X70" s="557"/>
      <c r="Y70" s="557"/>
      <c r="Z70" s="557"/>
      <c r="AA70" s="557"/>
      <c r="AB70" s="557"/>
      <c r="AC70" s="557"/>
      <c r="AD70" s="558"/>
      <c r="AE70" s="558"/>
      <c r="AF70" s="558"/>
      <c r="AG70" s="559">
        <v>1</v>
      </c>
      <c r="AH70" s="559"/>
      <c r="AI70" s="559"/>
      <c r="AJ70" s="559"/>
      <c r="AK70" s="585">
        <f>250.29*30.41</f>
        <v>7611.3189000000002</v>
      </c>
      <c r="AL70" s="586"/>
      <c r="AM70" s="586"/>
      <c r="AN70" s="586"/>
      <c r="AO70" s="586"/>
      <c r="AP70" s="587"/>
      <c r="AQ70" s="583">
        <f t="shared" si="2"/>
        <v>91335.82680000001</v>
      </c>
      <c r="AR70" s="583"/>
      <c r="AS70" s="583"/>
      <c r="AT70" s="583"/>
      <c r="AU70" s="583"/>
      <c r="AV70" s="583"/>
      <c r="AW70" s="583"/>
      <c r="AX70" s="583"/>
      <c r="AY70" s="588"/>
      <c r="AZ70" s="589"/>
      <c r="BA70" s="589"/>
      <c r="BB70" s="589"/>
      <c r="BC70" s="589"/>
      <c r="BD70" s="589"/>
      <c r="BE70" s="589"/>
      <c r="BF70" s="590"/>
      <c r="BG70" s="582">
        <f>250.29*10</f>
        <v>2502.9</v>
      </c>
      <c r="BH70" s="582"/>
      <c r="BI70" s="582"/>
      <c r="BJ70" s="582"/>
      <c r="BK70" s="582"/>
      <c r="BL70" s="582"/>
      <c r="BM70" s="582"/>
      <c r="BN70" s="582"/>
      <c r="BO70" s="579">
        <f t="shared" si="0"/>
        <v>12511.757095890413</v>
      </c>
      <c r="BP70" s="580"/>
      <c r="BQ70" s="580"/>
      <c r="BR70" s="580"/>
      <c r="BS70" s="580"/>
      <c r="BT70" s="580"/>
      <c r="BU70" s="580"/>
      <c r="BV70" s="581"/>
      <c r="BW70" s="582"/>
      <c r="BX70" s="582"/>
      <c r="BY70" s="582"/>
      <c r="BZ70" s="582"/>
      <c r="CA70" s="582"/>
      <c r="CB70" s="582"/>
      <c r="CC70" s="582"/>
      <c r="CD70" s="582"/>
      <c r="CE70" s="582"/>
      <c r="CF70" s="582"/>
      <c r="CG70" s="582"/>
      <c r="CH70" s="582"/>
      <c r="CI70" s="582"/>
      <c r="CJ70" s="582"/>
      <c r="CK70" s="582"/>
      <c r="CL70" s="582"/>
      <c r="CM70" s="582"/>
      <c r="CN70" s="582">
        <f t="shared" ref="CN70:CN72" si="8">400*24*AG70</f>
        <v>9600</v>
      </c>
      <c r="CO70" s="582"/>
      <c r="CP70" s="582"/>
      <c r="CQ70" s="582"/>
      <c r="CR70" s="582"/>
      <c r="CS70" s="582"/>
      <c r="CT70" s="582"/>
      <c r="CU70" s="582"/>
      <c r="CV70" s="583">
        <f t="shared" si="1"/>
        <v>115950.48389589041</v>
      </c>
      <c r="CW70" s="583"/>
      <c r="CX70" s="583"/>
      <c r="CY70" s="583"/>
      <c r="CZ70" s="583"/>
      <c r="DA70" s="583"/>
      <c r="DB70" s="583"/>
      <c r="DC70" s="583"/>
      <c r="DD70" s="583"/>
      <c r="DE70" s="584"/>
    </row>
    <row r="71" spans="1:109" s="2" customFormat="1" ht="23.25" customHeight="1">
      <c r="A71" s="554" t="s">
        <v>1211</v>
      </c>
      <c r="B71" s="555"/>
      <c r="C71" s="555"/>
      <c r="D71" s="555"/>
      <c r="E71" s="555"/>
      <c r="F71" s="555"/>
      <c r="G71" s="555"/>
      <c r="H71" s="555"/>
      <c r="I71" s="555"/>
      <c r="J71" s="555"/>
      <c r="K71" s="555"/>
      <c r="L71" s="555"/>
      <c r="M71" s="555"/>
      <c r="N71" s="555"/>
      <c r="O71" s="556"/>
      <c r="P71" s="557" t="s">
        <v>1209</v>
      </c>
      <c r="Q71" s="557"/>
      <c r="R71" s="557"/>
      <c r="S71" s="557"/>
      <c r="T71" s="557"/>
      <c r="U71" s="557"/>
      <c r="V71" s="557"/>
      <c r="W71" s="557"/>
      <c r="X71" s="557"/>
      <c r="Y71" s="557"/>
      <c r="Z71" s="557"/>
      <c r="AA71" s="557"/>
      <c r="AB71" s="557"/>
      <c r="AC71" s="557"/>
      <c r="AD71" s="558"/>
      <c r="AE71" s="558"/>
      <c r="AF71" s="558"/>
      <c r="AG71" s="559">
        <v>1</v>
      </c>
      <c r="AH71" s="559"/>
      <c r="AI71" s="559"/>
      <c r="AJ71" s="559"/>
      <c r="AK71" s="585">
        <f>296.54*30.41</f>
        <v>9017.7813999999998</v>
      </c>
      <c r="AL71" s="586"/>
      <c r="AM71" s="586"/>
      <c r="AN71" s="586"/>
      <c r="AO71" s="586"/>
      <c r="AP71" s="587"/>
      <c r="AQ71" s="583">
        <f t="shared" si="2"/>
        <v>108213.3768</v>
      </c>
      <c r="AR71" s="583"/>
      <c r="AS71" s="583"/>
      <c r="AT71" s="583"/>
      <c r="AU71" s="583"/>
      <c r="AV71" s="583"/>
      <c r="AW71" s="583"/>
      <c r="AX71" s="583"/>
      <c r="AY71" s="588"/>
      <c r="AZ71" s="589"/>
      <c r="BA71" s="589"/>
      <c r="BB71" s="589"/>
      <c r="BC71" s="589"/>
      <c r="BD71" s="589"/>
      <c r="BE71" s="589"/>
      <c r="BF71" s="590"/>
      <c r="BG71" s="582">
        <f>296.54*10</f>
        <v>2965.4</v>
      </c>
      <c r="BH71" s="582"/>
      <c r="BI71" s="582"/>
      <c r="BJ71" s="582"/>
      <c r="BK71" s="582"/>
      <c r="BL71" s="582"/>
      <c r="BM71" s="582"/>
      <c r="BN71" s="582"/>
      <c r="BO71" s="579">
        <f t="shared" si="0"/>
        <v>14823.75024657534</v>
      </c>
      <c r="BP71" s="580"/>
      <c r="BQ71" s="580"/>
      <c r="BR71" s="580"/>
      <c r="BS71" s="580"/>
      <c r="BT71" s="580"/>
      <c r="BU71" s="580"/>
      <c r="BV71" s="581"/>
      <c r="BW71" s="582"/>
      <c r="BX71" s="582"/>
      <c r="BY71" s="582"/>
      <c r="BZ71" s="582"/>
      <c r="CA71" s="582"/>
      <c r="CB71" s="582"/>
      <c r="CC71" s="582"/>
      <c r="CD71" s="582"/>
      <c r="CE71" s="582"/>
      <c r="CF71" s="582"/>
      <c r="CG71" s="582"/>
      <c r="CH71" s="582"/>
      <c r="CI71" s="582"/>
      <c r="CJ71" s="582"/>
      <c r="CK71" s="582"/>
      <c r="CL71" s="582"/>
      <c r="CM71" s="582"/>
      <c r="CN71" s="582">
        <f t="shared" si="8"/>
        <v>9600</v>
      </c>
      <c r="CO71" s="582"/>
      <c r="CP71" s="582"/>
      <c r="CQ71" s="582"/>
      <c r="CR71" s="582"/>
      <c r="CS71" s="582"/>
      <c r="CT71" s="582"/>
      <c r="CU71" s="582"/>
      <c r="CV71" s="583">
        <f t="shared" si="1"/>
        <v>135602.52704657533</v>
      </c>
      <c r="CW71" s="583"/>
      <c r="CX71" s="583"/>
      <c r="CY71" s="583"/>
      <c r="CZ71" s="583"/>
      <c r="DA71" s="583"/>
      <c r="DB71" s="583"/>
      <c r="DC71" s="583"/>
      <c r="DD71" s="583"/>
      <c r="DE71" s="584"/>
    </row>
    <row r="72" spans="1:109" s="2" customFormat="1" ht="23.25" customHeight="1">
      <c r="A72" s="554" t="s">
        <v>1181</v>
      </c>
      <c r="B72" s="555"/>
      <c r="C72" s="555"/>
      <c r="D72" s="555"/>
      <c r="E72" s="555"/>
      <c r="F72" s="555"/>
      <c r="G72" s="555"/>
      <c r="H72" s="555"/>
      <c r="I72" s="555"/>
      <c r="J72" s="555"/>
      <c r="K72" s="555"/>
      <c r="L72" s="555"/>
      <c r="M72" s="555"/>
      <c r="N72" s="555"/>
      <c r="O72" s="556"/>
      <c r="P72" s="557" t="s">
        <v>1209</v>
      </c>
      <c r="Q72" s="557"/>
      <c r="R72" s="557"/>
      <c r="S72" s="557"/>
      <c r="T72" s="557"/>
      <c r="U72" s="557"/>
      <c r="V72" s="557"/>
      <c r="W72" s="557"/>
      <c r="X72" s="557"/>
      <c r="Y72" s="557"/>
      <c r="Z72" s="557"/>
      <c r="AA72" s="557"/>
      <c r="AB72" s="557"/>
      <c r="AC72" s="557"/>
      <c r="AD72" s="558"/>
      <c r="AE72" s="558"/>
      <c r="AF72" s="558"/>
      <c r="AG72" s="559">
        <v>3</v>
      </c>
      <c r="AH72" s="559"/>
      <c r="AI72" s="559"/>
      <c r="AJ72" s="559"/>
      <c r="AK72" s="585">
        <f>250.29*30.41</f>
        <v>7611.3189000000002</v>
      </c>
      <c r="AL72" s="586"/>
      <c r="AM72" s="586"/>
      <c r="AN72" s="586"/>
      <c r="AO72" s="586"/>
      <c r="AP72" s="587"/>
      <c r="AQ72" s="583">
        <f t="shared" si="2"/>
        <v>274007.4804</v>
      </c>
      <c r="AR72" s="583"/>
      <c r="AS72" s="583"/>
      <c r="AT72" s="583"/>
      <c r="AU72" s="583"/>
      <c r="AV72" s="583"/>
      <c r="AW72" s="583"/>
      <c r="AX72" s="583"/>
      <c r="AY72" s="588"/>
      <c r="AZ72" s="589"/>
      <c r="BA72" s="589"/>
      <c r="BB72" s="589"/>
      <c r="BC72" s="589"/>
      <c r="BD72" s="589"/>
      <c r="BE72" s="589"/>
      <c r="BF72" s="590"/>
      <c r="BG72" s="582">
        <f>250.29*10</f>
        <v>2502.9</v>
      </c>
      <c r="BH72" s="582"/>
      <c r="BI72" s="582"/>
      <c r="BJ72" s="582"/>
      <c r="BK72" s="582"/>
      <c r="BL72" s="582"/>
      <c r="BM72" s="582"/>
      <c r="BN72" s="582"/>
      <c r="BO72" s="579">
        <f t="shared" si="0"/>
        <v>37535.271287671232</v>
      </c>
      <c r="BP72" s="580"/>
      <c r="BQ72" s="580"/>
      <c r="BR72" s="580"/>
      <c r="BS72" s="580"/>
      <c r="BT72" s="580"/>
      <c r="BU72" s="580"/>
      <c r="BV72" s="581"/>
      <c r="BW72" s="582"/>
      <c r="BX72" s="582"/>
      <c r="BY72" s="582"/>
      <c r="BZ72" s="582"/>
      <c r="CA72" s="582"/>
      <c r="CB72" s="582"/>
      <c r="CC72" s="582"/>
      <c r="CD72" s="582"/>
      <c r="CE72" s="582"/>
      <c r="CF72" s="582"/>
      <c r="CG72" s="582"/>
      <c r="CH72" s="582"/>
      <c r="CI72" s="582"/>
      <c r="CJ72" s="582"/>
      <c r="CK72" s="582"/>
      <c r="CL72" s="582"/>
      <c r="CM72" s="582"/>
      <c r="CN72" s="582">
        <f t="shared" si="8"/>
        <v>28800</v>
      </c>
      <c r="CO72" s="582"/>
      <c r="CP72" s="582"/>
      <c r="CQ72" s="582"/>
      <c r="CR72" s="582"/>
      <c r="CS72" s="582"/>
      <c r="CT72" s="582"/>
      <c r="CU72" s="582"/>
      <c r="CV72" s="583">
        <f t="shared" si="1"/>
        <v>342845.65168767126</v>
      </c>
      <c r="CW72" s="583"/>
      <c r="CX72" s="583"/>
      <c r="CY72" s="583"/>
      <c r="CZ72" s="583"/>
      <c r="DA72" s="583"/>
      <c r="DB72" s="583"/>
      <c r="DC72" s="583"/>
      <c r="DD72" s="583"/>
      <c r="DE72" s="584"/>
    </row>
    <row r="73" spans="1:109" s="2" customFormat="1" ht="23.25" customHeight="1">
      <c r="A73" s="597" t="s">
        <v>1212</v>
      </c>
      <c r="B73" s="598"/>
      <c r="C73" s="598"/>
      <c r="D73" s="598"/>
      <c r="E73" s="598"/>
      <c r="F73" s="598"/>
      <c r="G73" s="598"/>
      <c r="H73" s="598"/>
      <c r="I73" s="598"/>
      <c r="J73" s="598"/>
      <c r="K73" s="598"/>
      <c r="L73" s="598"/>
      <c r="M73" s="598"/>
      <c r="N73" s="598"/>
      <c r="O73" s="598"/>
      <c r="P73" s="557" t="s">
        <v>1213</v>
      </c>
      <c r="Q73" s="557"/>
      <c r="R73" s="557"/>
      <c r="S73" s="557"/>
      <c r="T73" s="557"/>
      <c r="U73" s="557"/>
      <c r="V73" s="557"/>
      <c r="W73" s="557"/>
      <c r="X73" s="557"/>
      <c r="Y73" s="557"/>
      <c r="Z73" s="557"/>
      <c r="AA73" s="557"/>
      <c r="AB73" s="557"/>
      <c r="AC73" s="557"/>
      <c r="AD73" s="558"/>
      <c r="AE73" s="558"/>
      <c r="AF73" s="558"/>
      <c r="AG73" s="559">
        <v>1</v>
      </c>
      <c r="AH73" s="559"/>
      <c r="AI73" s="559"/>
      <c r="AJ73" s="559"/>
      <c r="AK73" s="585">
        <f>594.67*30.41</f>
        <v>18083.914699999998</v>
      </c>
      <c r="AL73" s="586"/>
      <c r="AM73" s="586"/>
      <c r="AN73" s="586"/>
      <c r="AO73" s="586"/>
      <c r="AP73" s="587"/>
      <c r="AQ73" s="583">
        <f t="shared" si="2"/>
        <v>217006.97639999999</v>
      </c>
      <c r="AR73" s="583"/>
      <c r="AS73" s="583"/>
      <c r="AT73" s="583"/>
      <c r="AU73" s="583"/>
      <c r="AV73" s="583"/>
      <c r="AW73" s="583"/>
      <c r="AX73" s="583"/>
      <c r="AY73" s="588"/>
      <c r="AZ73" s="589"/>
      <c r="BA73" s="589"/>
      <c r="BB73" s="589"/>
      <c r="BC73" s="589"/>
      <c r="BD73" s="589"/>
      <c r="BE73" s="589"/>
      <c r="BF73" s="590"/>
      <c r="BG73" s="582">
        <f>594.67*10</f>
        <v>5946.7</v>
      </c>
      <c r="BH73" s="582"/>
      <c r="BI73" s="582"/>
      <c r="BJ73" s="582"/>
      <c r="BK73" s="582"/>
      <c r="BL73" s="582"/>
      <c r="BM73" s="582"/>
      <c r="BN73" s="582"/>
      <c r="BO73" s="579">
        <f t="shared" ref="BO73:BO136" si="9">AQ73/365*50</f>
        <v>29726.983068493148</v>
      </c>
      <c r="BP73" s="580"/>
      <c r="BQ73" s="580"/>
      <c r="BR73" s="580"/>
      <c r="BS73" s="580"/>
      <c r="BT73" s="580"/>
      <c r="BU73" s="580"/>
      <c r="BV73" s="581"/>
      <c r="BW73" s="582"/>
      <c r="BX73" s="582"/>
      <c r="BY73" s="582"/>
      <c r="BZ73" s="582"/>
      <c r="CA73" s="582"/>
      <c r="CB73" s="582"/>
      <c r="CC73" s="582"/>
      <c r="CD73" s="582"/>
      <c r="CE73" s="582"/>
      <c r="CF73" s="582"/>
      <c r="CG73" s="582"/>
      <c r="CH73" s="582"/>
      <c r="CI73" s="582"/>
      <c r="CJ73" s="582"/>
      <c r="CK73" s="582"/>
      <c r="CL73" s="582"/>
      <c r="CM73" s="582"/>
      <c r="CN73" s="582"/>
      <c r="CO73" s="582"/>
      <c r="CP73" s="582"/>
      <c r="CQ73" s="582"/>
      <c r="CR73" s="582"/>
      <c r="CS73" s="582"/>
      <c r="CT73" s="582"/>
      <c r="CU73" s="582"/>
      <c r="CV73" s="583">
        <f t="shared" ref="CV73:CV136" si="10">SUM(AQ73:CU73)</f>
        <v>252680.65946849313</v>
      </c>
      <c r="CW73" s="583"/>
      <c r="CX73" s="583"/>
      <c r="CY73" s="583"/>
      <c r="CZ73" s="583"/>
      <c r="DA73" s="583"/>
      <c r="DB73" s="583"/>
      <c r="DC73" s="583"/>
      <c r="DD73" s="583"/>
      <c r="DE73" s="584"/>
    </row>
    <row r="74" spans="1:109" s="2" customFormat="1" ht="23.25" customHeight="1">
      <c r="A74" s="597" t="s">
        <v>1214</v>
      </c>
      <c r="B74" s="598"/>
      <c r="C74" s="598"/>
      <c r="D74" s="598"/>
      <c r="E74" s="598"/>
      <c r="F74" s="598"/>
      <c r="G74" s="598"/>
      <c r="H74" s="598"/>
      <c r="I74" s="598"/>
      <c r="J74" s="598"/>
      <c r="K74" s="598"/>
      <c r="L74" s="598"/>
      <c r="M74" s="598"/>
      <c r="N74" s="598"/>
      <c r="O74" s="598"/>
      <c r="P74" s="557" t="s">
        <v>1213</v>
      </c>
      <c r="Q74" s="557"/>
      <c r="R74" s="557"/>
      <c r="S74" s="557"/>
      <c r="T74" s="557"/>
      <c r="U74" s="557"/>
      <c r="V74" s="557"/>
      <c r="W74" s="557"/>
      <c r="X74" s="557"/>
      <c r="Y74" s="557"/>
      <c r="Z74" s="557"/>
      <c r="AA74" s="557"/>
      <c r="AB74" s="557"/>
      <c r="AC74" s="557"/>
      <c r="AD74" s="558"/>
      <c r="AE74" s="558"/>
      <c r="AF74" s="558"/>
      <c r="AG74" s="559">
        <v>1</v>
      </c>
      <c r="AH74" s="559"/>
      <c r="AI74" s="559"/>
      <c r="AJ74" s="559"/>
      <c r="AK74" s="585">
        <f>393.95*30.41</f>
        <v>11980.0195</v>
      </c>
      <c r="AL74" s="586"/>
      <c r="AM74" s="586"/>
      <c r="AN74" s="586"/>
      <c r="AO74" s="586"/>
      <c r="AP74" s="587"/>
      <c r="AQ74" s="583">
        <f t="shared" ref="AQ74:AQ137" si="11">AG74*AK74*12</f>
        <v>143760.234</v>
      </c>
      <c r="AR74" s="583"/>
      <c r="AS74" s="583"/>
      <c r="AT74" s="583"/>
      <c r="AU74" s="583"/>
      <c r="AV74" s="583"/>
      <c r="AW74" s="583"/>
      <c r="AX74" s="583"/>
      <c r="AY74" s="588"/>
      <c r="AZ74" s="589"/>
      <c r="BA74" s="589"/>
      <c r="BB74" s="589"/>
      <c r="BC74" s="589"/>
      <c r="BD74" s="589"/>
      <c r="BE74" s="589"/>
      <c r="BF74" s="590"/>
      <c r="BG74" s="582">
        <f>393.95*10</f>
        <v>3939.5</v>
      </c>
      <c r="BH74" s="582"/>
      <c r="BI74" s="582"/>
      <c r="BJ74" s="582"/>
      <c r="BK74" s="582"/>
      <c r="BL74" s="582"/>
      <c r="BM74" s="582"/>
      <c r="BN74" s="582"/>
      <c r="BO74" s="579">
        <f t="shared" si="9"/>
        <v>19693.182739726028</v>
      </c>
      <c r="BP74" s="580"/>
      <c r="BQ74" s="580"/>
      <c r="BR74" s="580"/>
      <c r="BS74" s="580"/>
      <c r="BT74" s="580"/>
      <c r="BU74" s="580"/>
      <c r="BV74" s="581"/>
      <c r="BW74" s="582"/>
      <c r="BX74" s="582"/>
      <c r="BY74" s="582"/>
      <c r="BZ74" s="582"/>
      <c r="CA74" s="582"/>
      <c r="CB74" s="582"/>
      <c r="CC74" s="582"/>
      <c r="CD74" s="582"/>
      <c r="CE74" s="582"/>
      <c r="CF74" s="582"/>
      <c r="CG74" s="582"/>
      <c r="CH74" s="582"/>
      <c r="CI74" s="582"/>
      <c r="CJ74" s="582"/>
      <c r="CK74" s="582"/>
      <c r="CL74" s="582"/>
      <c r="CM74" s="582"/>
      <c r="CN74" s="582">
        <f>400*24</f>
        <v>9600</v>
      </c>
      <c r="CO74" s="582"/>
      <c r="CP74" s="582"/>
      <c r="CQ74" s="582"/>
      <c r="CR74" s="582"/>
      <c r="CS74" s="582"/>
      <c r="CT74" s="582"/>
      <c r="CU74" s="582"/>
      <c r="CV74" s="583">
        <f t="shared" si="10"/>
        <v>176992.91673972603</v>
      </c>
      <c r="CW74" s="583"/>
      <c r="CX74" s="583"/>
      <c r="CY74" s="583"/>
      <c r="CZ74" s="583"/>
      <c r="DA74" s="583"/>
      <c r="DB74" s="583"/>
      <c r="DC74" s="583"/>
      <c r="DD74" s="583"/>
      <c r="DE74" s="584"/>
    </row>
    <row r="75" spans="1:109" s="2" customFormat="1" ht="23.25" customHeight="1">
      <c r="A75" s="554" t="s">
        <v>1215</v>
      </c>
      <c r="B75" s="555"/>
      <c r="C75" s="555"/>
      <c r="D75" s="555"/>
      <c r="E75" s="555"/>
      <c r="F75" s="555"/>
      <c r="G75" s="555"/>
      <c r="H75" s="555"/>
      <c r="I75" s="555"/>
      <c r="J75" s="555"/>
      <c r="K75" s="555"/>
      <c r="L75" s="555"/>
      <c r="M75" s="555"/>
      <c r="N75" s="555"/>
      <c r="O75" s="556"/>
      <c r="P75" s="557" t="s">
        <v>1213</v>
      </c>
      <c r="Q75" s="557"/>
      <c r="R75" s="557"/>
      <c r="S75" s="557"/>
      <c r="T75" s="557"/>
      <c r="U75" s="557"/>
      <c r="V75" s="557"/>
      <c r="W75" s="557"/>
      <c r="X75" s="557"/>
      <c r="Y75" s="557"/>
      <c r="Z75" s="557"/>
      <c r="AA75" s="557"/>
      <c r="AB75" s="557"/>
      <c r="AC75" s="557"/>
      <c r="AD75" s="558"/>
      <c r="AE75" s="558"/>
      <c r="AF75" s="558"/>
      <c r="AG75" s="559">
        <v>1</v>
      </c>
      <c r="AH75" s="559"/>
      <c r="AI75" s="559"/>
      <c r="AJ75" s="559"/>
      <c r="AK75" s="585">
        <f>250.29*30.41</f>
        <v>7611.3189000000002</v>
      </c>
      <c r="AL75" s="586"/>
      <c r="AM75" s="586"/>
      <c r="AN75" s="586"/>
      <c r="AO75" s="586"/>
      <c r="AP75" s="587"/>
      <c r="AQ75" s="607">
        <f t="shared" si="11"/>
        <v>91335.82680000001</v>
      </c>
      <c r="AR75" s="607"/>
      <c r="AS75" s="607"/>
      <c r="AT75" s="607"/>
      <c r="AU75" s="607"/>
      <c r="AV75" s="607"/>
      <c r="AW75" s="607"/>
      <c r="AX75" s="607"/>
      <c r="AY75" s="588"/>
      <c r="AZ75" s="589"/>
      <c r="BA75" s="589"/>
      <c r="BB75" s="589"/>
      <c r="BC75" s="589"/>
      <c r="BD75" s="589"/>
      <c r="BE75" s="589"/>
      <c r="BF75" s="590"/>
      <c r="BG75" s="606">
        <f>250.29*10</f>
        <v>2502.9</v>
      </c>
      <c r="BH75" s="606"/>
      <c r="BI75" s="606"/>
      <c r="BJ75" s="606"/>
      <c r="BK75" s="606"/>
      <c r="BL75" s="606"/>
      <c r="BM75" s="606"/>
      <c r="BN75" s="606"/>
      <c r="BO75" s="579">
        <f t="shared" si="9"/>
        <v>12511.757095890413</v>
      </c>
      <c r="BP75" s="580"/>
      <c r="BQ75" s="580"/>
      <c r="BR75" s="580"/>
      <c r="BS75" s="580"/>
      <c r="BT75" s="580"/>
      <c r="BU75" s="580"/>
      <c r="BV75" s="581"/>
      <c r="BW75" s="606"/>
      <c r="BX75" s="606"/>
      <c r="BY75" s="606"/>
      <c r="BZ75" s="606"/>
      <c r="CA75" s="606"/>
      <c r="CB75" s="606"/>
      <c r="CC75" s="606"/>
      <c r="CD75" s="606"/>
      <c r="CE75" s="606"/>
      <c r="CF75" s="606"/>
      <c r="CG75" s="606"/>
      <c r="CH75" s="606"/>
      <c r="CI75" s="606"/>
      <c r="CJ75" s="606"/>
      <c r="CK75" s="606"/>
      <c r="CL75" s="606"/>
      <c r="CM75" s="606"/>
      <c r="CN75" s="582">
        <f t="shared" ref="CN75:CN138" si="12">400*24</f>
        <v>9600</v>
      </c>
      <c r="CO75" s="582"/>
      <c r="CP75" s="582"/>
      <c r="CQ75" s="582"/>
      <c r="CR75" s="582"/>
      <c r="CS75" s="582"/>
      <c r="CT75" s="582"/>
      <c r="CU75" s="582"/>
      <c r="CV75" s="607">
        <f t="shared" si="10"/>
        <v>115950.48389589041</v>
      </c>
      <c r="CW75" s="607"/>
      <c r="CX75" s="607"/>
      <c r="CY75" s="607"/>
      <c r="CZ75" s="607"/>
      <c r="DA75" s="607"/>
      <c r="DB75" s="607"/>
      <c r="DC75" s="607"/>
      <c r="DD75" s="607"/>
      <c r="DE75" s="608"/>
    </row>
    <row r="76" spans="1:109" s="2" customFormat="1" ht="23.25" customHeight="1">
      <c r="A76" s="597" t="s">
        <v>1210</v>
      </c>
      <c r="B76" s="598"/>
      <c r="C76" s="598"/>
      <c r="D76" s="598"/>
      <c r="E76" s="598"/>
      <c r="F76" s="598"/>
      <c r="G76" s="598"/>
      <c r="H76" s="598"/>
      <c r="I76" s="598"/>
      <c r="J76" s="598"/>
      <c r="K76" s="598"/>
      <c r="L76" s="598"/>
      <c r="M76" s="598"/>
      <c r="N76" s="598"/>
      <c r="O76" s="598"/>
      <c r="P76" s="557" t="s">
        <v>1213</v>
      </c>
      <c r="Q76" s="557"/>
      <c r="R76" s="557"/>
      <c r="S76" s="557"/>
      <c r="T76" s="557"/>
      <c r="U76" s="557"/>
      <c r="V76" s="557"/>
      <c r="W76" s="557"/>
      <c r="X76" s="557"/>
      <c r="Y76" s="557"/>
      <c r="Z76" s="557"/>
      <c r="AA76" s="557"/>
      <c r="AB76" s="557"/>
      <c r="AC76" s="557"/>
      <c r="AD76" s="558"/>
      <c r="AE76" s="558"/>
      <c r="AF76" s="558"/>
      <c r="AG76" s="559">
        <v>1</v>
      </c>
      <c r="AH76" s="559"/>
      <c r="AI76" s="559"/>
      <c r="AJ76" s="559"/>
      <c r="AK76" s="585">
        <f>340.43*30.41</f>
        <v>10352.4763</v>
      </c>
      <c r="AL76" s="586"/>
      <c r="AM76" s="586"/>
      <c r="AN76" s="586"/>
      <c r="AO76" s="586"/>
      <c r="AP76" s="587"/>
      <c r="AQ76" s="583">
        <f t="shared" si="11"/>
        <v>124229.7156</v>
      </c>
      <c r="AR76" s="583"/>
      <c r="AS76" s="583"/>
      <c r="AT76" s="583"/>
      <c r="AU76" s="583"/>
      <c r="AV76" s="583"/>
      <c r="AW76" s="583"/>
      <c r="AX76" s="583"/>
      <c r="AY76" s="588"/>
      <c r="AZ76" s="589"/>
      <c r="BA76" s="589"/>
      <c r="BB76" s="589"/>
      <c r="BC76" s="589"/>
      <c r="BD76" s="589"/>
      <c r="BE76" s="589"/>
      <c r="BF76" s="590"/>
      <c r="BG76" s="582">
        <f>340.43*10</f>
        <v>3404.3</v>
      </c>
      <c r="BH76" s="582"/>
      <c r="BI76" s="582"/>
      <c r="BJ76" s="582"/>
      <c r="BK76" s="582"/>
      <c r="BL76" s="582"/>
      <c r="BM76" s="582"/>
      <c r="BN76" s="582"/>
      <c r="BO76" s="579">
        <f t="shared" si="9"/>
        <v>17017.76926027397</v>
      </c>
      <c r="BP76" s="580"/>
      <c r="BQ76" s="580"/>
      <c r="BR76" s="580"/>
      <c r="BS76" s="580"/>
      <c r="BT76" s="580"/>
      <c r="BU76" s="580"/>
      <c r="BV76" s="581"/>
      <c r="BW76" s="582"/>
      <c r="BX76" s="582"/>
      <c r="BY76" s="582"/>
      <c r="BZ76" s="582"/>
      <c r="CA76" s="582"/>
      <c r="CB76" s="582"/>
      <c r="CC76" s="582"/>
      <c r="CD76" s="582"/>
      <c r="CE76" s="582"/>
      <c r="CF76" s="582"/>
      <c r="CG76" s="582"/>
      <c r="CH76" s="582"/>
      <c r="CI76" s="582"/>
      <c r="CJ76" s="582"/>
      <c r="CK76" s="582"/>
      <c r="CL76" s="582"/>
      <c r="CM76" s="582"/>
      <c r="CN76" s="582">
        <f t="shared" si="12"/>
        <v>9600</v>
      </c>
      <c r="CO76" s="582"/>
      <c r="CP76" s="582"/>
      <c r="CQ76" s="582"/>
      <c r="CR76" s="582"/>
      <c r="CS76" s="582"/>
      <c r="CT76" s="582"/>
      <c r="CU76" s="582"/>
      <c r="CV76" s="583">
        <f t="shared" si="10"/>
        <v>154251.78486027397</v>
      </c>
      <c r="CW76" s="583"/>
      <c r="CX76" s="583"/>
      <c r="CY76" s="583"/>
      <c r="CZ76" s="583"/>
      <c r="DA76" s="583"/>
      <c r="DB76" s="583"/>
      <c r="DC76" s="583"/>
      <c r="DD76" s="583"/>
      <c r="DE76" s="584"/>
    </row>
    <row r="77" spans="1:109" s="2" customFormat="1" ht="23.25" customHeight="1">
      <c r="A77" s="597" t="s">
        <v>1216</v>
      </c>
      <c r="B77" s="598"/>
      <c r="C77" s="598"/>
      <c r="D77" s="598"/>
      <c r="E77" s="598"/>
      <c r="F77" s="598"/>
      <c r="G77" s="598"/>
      <c r="H77" s="598"/>
      <c r="I77" s="598"/>
      <c r="J77" s="598"/>
      <c r="K77" s="598"/>
      <c r="L77" s="598"/>
      <c r="M77" s="598"/>
      <c r="N77" s="598"/>
      <c r="O77" s="598"/>
      <c r="P77" s="557" t="s">
        <v>1213</v>
      </c>
      <c r="Q77" s="557"/>
      <c r="R77" s="557"/>
      <c r="S77" s="557"/>
      <c r="T77" s="557"/>
      <c r="U77" s="557"/>
      <c r="V77" s="557"/>
      <c r="W77" s="557"/>
      <c r="X77" s="557"/>
      <c r="Y77" s="557"/>
      <c r="Z77" s="557"/>
      <c r="AA77" s="557"/>
      <c r="AB77" s="557"/>
      <c r="AC77" s="557"/>
      <c r="AD77" s="558"/>
      <c r="AE77" s="558"/>
      <c r="AF77" s="558"/>
      <c r="AG77" s="559">
        <v>1</v>
      </c>
      <c r="AH77" s="559"/>
      <c r="AI77" s="559"/>
      <c r="AJ77" s="559"/>
      <c r="AK77" s="585">
        <f>296.54*30.41</f>
        <v>9017.7813999999998</v>
      </c>
      <c r="AL77" s="586"/>
      <c r="AM77" s="586"/>
      <c r="AN77" s="586"/>
      <c r="AO77" s="586"/>
      <c r="AP77" s="587"/>
      <c r="AQ77" s="583">
        <f t="shared" si="11"/>
        <v>108213.3768</v>
      </c>
      <c r="AR77" s="583"/>
      <c r="AS77" s="583"/>
      <c r="AT77" s="583"/>
      <c r="AU77" s="583"/>
      <c r="AV77" s="583"/>
      <c r="AW77" s="583"/>
      <c r="AX77" s="583"/>
      <c r="AY77" s="588"/>
      <c r="AZ77" s="589"/>
      <c r="BA77" s="589"/>
      <c r="BB77" s="589"/>
      <c r="BC77" s="589"/>
      <c r="BD77" s="589"/>
      <c r="BE77" s="589"/>
      <c r="BF77" s="590"/>
      <c r="BG77" s="582">
        <f>296.54*10</f>
        <v>2965.4</v>
      </c>
      <c r="BH77" s="582"/>
      <c r="BI77" s="582"/>
      <c r="BJ77" s="582"/>
      <c r="BK77" s="582"/>
      <c r="BL77" s="582"/>
      <c r="BM77" s="582"/>
      <c r="BN77" s="582"/>
      <c r="BO77" s="579">
        <f t="shared" si="9"/>
        <v>14823.75024657534</v>
      </c>
      <c r="BP77" s="580"/>
      <c r="BQ77" s="580"/>
      <c r="BR77" s="580"/>
      <c r="BS77" s="580"/>
      <c r="BT77" s="580"/>
      <c r="BU77" s="580"/>
      <c r="BV77" s="581"/>
      <c r="BW77" s="582"/>
      <c r="BX77" s="582"/>
      <c r="BY77" s="582"/>
      <c r="BZ77" s="582"/>
      <c r="CA77" s="582"/>
      <c r="CB77" s="582"/>
      <c r="CC77" s="582"/>
      <c r="CD77" s="582"/>
      <c r="CE77" s="582"/>
      <c r="CF77" s="582"/>
      <c r="CG77" s="582"/>
      <c r="CH77" s="582"/>
      <c r="CI77" s="582"/>
      <c r="CJ77" s="582"/>
      <c r="CK77" s="582"/>
      <c r="CL77" s="582"/>
      <c r="CM77" s="582"/>
      <c r="CN77" s="582">
        <f t="shared" si="12"/>
        <v>9600</v>
      </c>
      <c r="CO77" s="582"/>
      <c r="CP77" s="582"/>
      <c r="CQ77" s="582"/>
      <c r="CR77" s="582"/>
      <c r="CS77" s="582"/>
      <c r="CT77" s="582"/>
      <c r="CU77" s="582"/>
      <c r="CV77" s="583">
        <f t="shared" si="10"/>
        <v>135602.52704657533</v>
      </c>
      <c r="CW77" s="583"/>
      <c r="CX77" s="583"/>
      <c r="CY77" s="583"/>
      <c r="CZ77" s="583"/>
      <c r="DA77" s="583"/>
      <c r="DB77" s="583"/>
      <c r="DC77" s="583"/>
      <c r="DD77" s="583"/>
      <c r="DE77" s="584"/>
    </row>
    <row r="78" spans="1:109" s="2" customFormat="1" ht="23.25" customHeight="1">
      <c r="A78" s="597" t="s">
        <v>1217</v>
      </c>
      <c r="B78" s="598"/>
      <c r="C78" s="598"/>
      <c r="D78" s="598"/>
      <c r="E78" s="598"/>
      <c r="F78" s="598"/>
      <c r="G78" s="598"/>
      <c r="H78" s="598"/>
      <c r="I78" s="598"/>
      <c r="J78" s="598"/>
      <c r="K78" s="598"/>
      <c r="L78" s="598"/>
      <c r="M78" s="598"/>
      <c r="N78" s="598"/>
      <c r="O78" s="598"/>
      <c r="P78" s="557" t="s">
        <v>1213</v>
      </c>
      <c r="Q78" s="557"/>
      <c r="R78" s="557"/>
      <c r="S78" s="557"/>
      <c r="T78" s="557"/>
      <c r="U78" s="557"/>
      <c r="V78" s="557"/>
      <c r="W78" s="557"/>
      <c r="X78" s="557"/>
      <c r="Y78" s="557"/>
      <c r="Z78" s="557"/>
      <c r="AA78" s="557"/>
      <c r="AB78" s="557"/>
      <c r="AC78" s="557"/>
      <c r="AD78" s="558"/>
      <c r="AE78" s="558"/>
      <c r="AF78" s="558"/>
      <c r="AG78" s="559">
        <v>3</v>
      </c>
      <c r="AH78" s="559"/>
      <c r="AI78" s="559"/>
      <c r="AJ78" s="559"/>
      <c r="AK78" s="585">
        <f>250.29*30.41</f>
        <v>7611.3189000000002</v>
      </c>
      <c r="AL78" s="586"/>
      <c r="AM78" s="586"/>
      <c r="AN78" s="586"/>
      <c r="AO78" s="586"/>
      <c r="AP78" s="587"/>
      <c r="AQ78" s="583">
        <f t="shared" si="11"/>
        <v>274007.4804</v>
      </c>
      <c r="AR78" s="583"/>
      <c r="AS78" s="583"/>
      <c r="AT78" s="583"/>
      <c r="AU78" s="583"/>
      <c r="AV78" s="583"/>
      <c r="AW78" s="583"/>
      <c r="AX78" s="583"/>
      <c r="AY78" s="588"/>
      <c r="AZ78" s="589"/>
      <c r="BA78" s="589"/>
      <c r="BB78" s="589"/>
      <c r="BC78" s="589"/>
      <c r="BD78" s="589"/>
      <c r="BE78" s="589"/>
      <c r="BF78" s="590"/>
      <c r="BG78" s="582">
        <f>250.29*10</f>
        <v>2502.9</v>
      </c>
      <c r="BH78" s="582"/>
      <c r="BI78" s="582"/>
      <c r="BJ78" s="582"/>
      <c r="BK78" s="582"/>
      <c r="BL78" s="582"/>
      <c r="BM78" s="582"/>
      <c r="BN78" s="582"/>
      <c r="BO78" s="579">
        <f t="shared" si="9"/>
        <v>37535.271287671232</v>
      </c>
      <c r="BP78" s="580"/>
      <c r="BQ78" s="580"/>
      <c r="BR78" s="580"/>
      <c r="BS78" s="580"/>
      <c r="BT78" s="580"/>
      <c r="BU78" s="580"/>
      <c r="BV78" s="581"/>
      <c r="BW78" s="582"/>
      <c r="BX78" s="582"/>
      <c r="BY78" s="582"/>
      <c r="BZ78" s="582"/>
      <c r="CA78" s="582"/>
      <c r="CB78" s="582"/>
      <c r="CC78" s="582"/>
      <c r="CD78" s="582"/>
      <c r="CE78" s="582"/>
      <c r="CF78" s="582"/>
      <c r="CG78" s="582"/>
      <c r="CH78" s="582"/>
      <c r="CI78" s="582"/>
      <c r="CJ78" s="582"/>
      <c r="CK78" s="582"/>
      <c r="CL78" s="582"/>
      <c r="CM78" s="582"/>
      <c r="CN78" s="582">
        <f t="shared" si="12"/>
        <v>9600</v>
      </c>
      <c r="CO78" s="582"/>
      <c r="CP78" s="582"/>
      <c r="CQ78" s="582"/>
      <c r="CR78" s="582"/>
      <c r="CS78" s="582"/>
      <c r="CT78" s="582"/>
      <c r="CU78" s="582"/>
      <c r="CV78" s="583">
        <f t="shared" si="10"/>
        <v>323645.65168767126</v>
      </c>
      <c r="CW78" s="583"/>
      <c r="CX78" s="583"/>
      <c r="CY78" s="583"/>
      <c r="CZ78" s="583"/>
      <c r="DA78" s="583"/>
      <c r="DB78" s="583"/>
      <c r="DC78" s="583"/>
      <c r="DD78" s="583"/>
      <c r="DE78" s="584"/>
    </row>
    <row r="79" spans="1:109" s="2" customFormat="1" ht="23.25" customHeight="1">
      <c r="A79" s="597" t="s">
        <v>1218</v>
      </c>
      <c r="B79" s="598"/>
      <c r="C79" s="598"/>
      <c r="D79" s="598"/>
      <c r="E79" s="598"/>
      <c r="F79" s="598"/>
      <c r="G79" s="598"/>
      <c r="H79" s="598"/>
      <c r="I79" s="598"/>
      <c r="J79" s="598"/>
      <c r="K79" s="598"/>
      <c r="L79" s="598"/>
      <c r="M79" s="598"/>
      <c r="N79" s="598"/>
      <c r="O79" s="598"/>
      <c r="P79" s="557" t="s">
        <v>1213</v>
      </c>
      <c r="Q79" s="557"/>
      <c r="R79" s="557"/>
      <c r="S79" s="557"/>
      <c r="T79" s="557"/>
      <c r="U79" s="557"/>
      <c r="V79" s="557"/>
      <c r="W79" s="557"/>
      <c r="X79" s="557"/>
      <c r="Y79" s="557"/>
      <c r="Z79" s="557"/>
      <c r="AA79" s="557"/>
      <c r="AB79" s="557"/>
      <c r="AC79" s="557"/>
      <c r="AD79" s="558"/>
      <c r="AE79" s="558"/>
      <c r="AF79" s="558"/>
      <c r="AG79" s="559">
        <v>1</v>
      </c>
      <c r="AH79" s="559"/>
      <c r="AI79" s="559"/>
      <c r="AJ79" s="559"/>
      <c r="AK79" s="585">
        <f>393.95*30.41</f>
        <v>11980.0195</v>
      </c>
      <c r="AL79" s="586"/>
      <c r="AM79" s="586"/>
      <c r="AN79" s="586"/>
      <c r="AO79" s="586"/>
      <c r="AP79" s="587"/>
      <c r="AQ79" s="583">
        <f t="shared" si="11"/>
        <v>143760.234</v>
      </c>
      <c r="AR79" s="583"/>
      <c r="AS79" s="583"/>
      <c r="AT79" s="583"/>
      <c r="AU79" s="583"/>
      <c r="AV79" s="583"/>
      <c r="AW79" s="583"/>
      <c r="AX79" s="583"/>
      <c r="AY79" s="588"/>
      <c r="AZ79" s="589"/>
      <c r="BA79" s="589"/>
      <c r="BB79" s="589"/>
      <c r="BC79" s="589"/>
      <c r="BD79" s="589"/>
      <c r="BE79" s="589"/>
      <c r="BF79" s="590"/>
      <c r="BG79" s="582">
        <f>393.95*10</f>
        <v>3939.5</v>
      </c>
      <c r="BH79" s="582"/>
      <c r="BI79" s="582"/>
      <c r="BJ79" s="582"/>
      <c r="BK79" s="582"/>
      <c r="BL79" s="582"/>
      <c r="BM79" s="582"/>
      <c r="BN79" s="582"/>
      <c r="BO79" s="579">
        <f t="shared" si="9"/>
        <v>19693.182739726028</v>
      </c>
      <c r="BP79" s="580"/>
      <c r="BQ79" s="580"/>
      <c r="BR79" s="580"/>
      <c r="BS79" s="580"/>
      <c r="BT79" s="580"/>
      <c r="BU79" s="580"/>
      <c r="BV79" s="581"/>
      <c r="BW79" s="582"/>
      <c r="BX79" s="582"/>
      <c r="BY79" s="582"/>
      <c r="BZ79" s="582"/>
      <c r="CA79" s="582"/>
      <c r="CB79" s="582"/>
      <c r="CC79" s="582"/>
      <c r="CD79" s="582"/>
      <c r="CE79" s="582"/>
      <c r="CF79" s="582"/>
      <c r="CG79" s="582"/>
      <c r="CH79" s="582"/>
      <c r="CI79" s="582"/>
      <c r="CJ79" s="582"/>
      <c r="CK79" s="582"/>
      <c r="CL79" s="582"/>
      <c r="CM79" s="582"/>
      <c r="CN79" s="582">
        <f t="shared" si="12"/>
        <v>9600</v>
      </c>
      <c r="CO79" s="582"/>
      <c r="CP79" s="582"/>
      <c r="CQ79" s="582"/>
      <c r="CR79" s="582"/>
      <c r="CS79" s="582"/>
      <c r="CT79" s="582"/>
      <c r="CU79" s="582"/>
      <c r="CV79" s="583">
        <f t="shared" si="10"/>
        <v>176992.91673972603</v>
      </c>
      <c r="CW79" s="583"/>
      <c r="CX79" s="583"/>
      <c r="CY79" s="583"/>
      <c r="CZ79" s="583"/>
      <c r="DA79" s="583"/>
      <c r="DB79" s="583"/>
      <c r="DC79" s="583"/>
      <c r="DD79" s="583"/>
      <c r="DE79" s="584"/>
    </row>
    <row r="80" spans="1:109" s="2" customFormat="1" ht="23.25" customHeight="1">
      <c r="A80" s="597" t="s">
        <v>1210</v>
      </c>
      <c r="B80" s="598"/>
      <c r="C80" s="598"/>
      <c r="D80" s="598"/>
      <c r="E80" s="598"/>
      <c r="F80" s="598"/>
      <c r="G80" s="598"/>
      <c r="H80" s="598"/>
      <c r="I80" s="598"/>
      <c r="J80" s="598"/>
      <c r="K80" s="598"/>
      <c r="L80" s="598"/>
      <c r="M80" s="598"/>
      <c r="N80" s="598"/>
      <c r="O80" s="598"/>
      <c r="P80" s="557" t="s">
        <v>1213</v>
      </c>
      <c r="Q80" s="557"/>
      <c r="R80" s="557"/>
      <c r="S80" s="557"/>
      <c r="T80" s="557"/>
      <c r="U80" s="557"/>
      <c r="V80" s="557"/>
      <c r="W80" s="557"/>
      <c r="X80" s="557"/>
      <c r="Y80" s="557"/>
      <c r="Z80" s="557"/>
      <c r="AA80" s="557"/>
      <c r="AB80" s="557"/>
      <c r="AC80" s="557"/>
      <c r="AD80" s="558"/>
      <c r="AE80" s="558"/>
      <c r="AF80" s="558"/>
      <c r="AG80" s="559">
        <v>1</v>
      </c>
      <c r="AH80" s="559"/>
      <c r="AI80" s="559"/>
      <c r="AJ80" s="559"/>
      <c r="AK80" s="585">
        <f>340.43*30.41</f>
        <v>10352.4763</v>
      </c>
      <c r="AL80" s="586"/>
      <c r="AM80" s="586"/>
      <c r="AN80" s="586"/>
      <c r="AO80" s="586"/>
      <c r="AP80" s="587"/>
      <c r="AQ80" s="583">
        <f t="shared" si="11"/>
        <v>124229.7156</v>
      </c>
      <c r="AR80" s="583"/>
      <c r="AS80" s="583"/>
      <c r="AT80" s="583"/>
      <c r="AU80" s="583"/>
      <c r="AV80" s="583"/>
      <c r="AW80" s="583"/>
      <c r="AX80" s="583"/>
      <c r="AY80" s="588"/>
      <c r="AZ80" s="589"/>
      <c r="BA80" s="589"/>
      <c r="BB80" s="589"/>
      <c r="BC80" s="589"/>
      <c r="BD80" s="589"/>
      <c r="BE80" s="589"/>
      <c r="BF80" s="590"/>
      <c r="BG80" s="582">
        <f>340.43*10</f>
        <v>3404.3</v>
      </c>
      <c r="BH80" s="582"/>
      <c r="BI80" s="582"/>
      <c r="BJ80" s="582"/>
      <c r="BK80" s="582"/>
      <c r="BL80" s="582"/>
      <c r="BM80" s="582"/>
      <c r="BN80" s="582"/>
      <c r="BO80" s="579">
        <f t="shared" si="9"/>
        <v>17017.76926027397</v>
      </c>
      <c r="BP80" s="580"/>
      <c r="BQ80" s="580"/>
      <c r="BR80" s="580"/>
      <c r="BS80" s="580"/>
      <c r="BT80" s="580"/>
      <c r="BU80" s="580"/>
      <c r="BV80" s="581"/>
      <c r="BW80" s="582"/>
      <c r="BX80" s="582"/>
      <c r="BY80" s="582"/>
      <c r="BZ80" s="582"/>
      <c r="CA80" s="582"/>
      <c r="CB80" s="582"/>
      <c r="CC80" s="582"/>
      <c r="CD80" s="582"/>
      <c r="CE80" s="582"/>
      <c r="CF80" s="582"/>
      <c r="CG80" s="582"/>
      <c r="CH80" s="582"/>
      <c r="CI80" s="582"/>
      <c r="CJ80" s="582"/>
      <c r="CK80" s="582"/>
      <c r="CL80" s="582"/>
      <c r="CM80" s="582"/>
      <c r="CN80" s="582">
        <f t="shared" si="12"/>
        <v>9600</v>
      </c>
      <c r="CO80" s="582"/>
      <c r="CP80" s="582"/>
      <c r="CQ80" s="582"/>
      <c r="CR80" s="582"/>
      <c r="CS80" s="582"/>
      <c r="CT80" s="582"/>
      <c r="CU80" s="582"/>
      <c r="CV80" s="583">
        <f t="shared" si="10"/>
        <v>154251.78486027397</v>
      </c>
      <c r="CW80" s="583"/>
      <c r="CX80" s="583"/>
      <c r="CY80" s="583"/>
      <c r="CZ80" s="583"/>
      <c r="DA80" s="583"/>
      <c r="DB80" s="583"/>
      <c r="DC80" s="583"/>
      <c r="DD80" s="583"/>
      <c r="DE80" s="584"/>
    </row>
    <row r="81" spans="1:109" s="2" customFormat="1" ht="23.25" customHeight="1">
      <c r="A81" s="597" t="s">
        <v>1219</v>
      </c>
      <c r="B81" s="598"/>
      <c r="C81" s="598"/>
      <c r="D81" s="598"/>
      <c r="E81" s="598"/>
      <c r="F81" s="598"/>
      <c r="G81" s="598"/>
      <c r="H81" s="598"/>
      <c r="I81" s="598"/>
      <c r="J81" s="598"/>
      <c r="K81" s="598"/>
      <c r="L81" s="598"/>
      <c r="M81" s="598"/>
      <c r="N81" s="598"/>
      <c r="O81" s="598"/>
      <c r="P81" s="557" t="s">
        <v>645</v>
      </c>
      <c r="Q81" s="557"/>
      <c r="R81" s="557"/>
      <c r="S81" s="557"/>
      <c r="T81" s="557"/>
      <c r="U81" s="557"/>
      <c r="V81" s="557"/>
      <c r="W81" s="557"/>
      <c r="X81" s="557"/>
      <c r="Y81" s="557"/>
      <c r="Z81" s="557"/>
      <c r="AA81" s="557"/>
      <c r="AB81" s="557"/>
      <c r="AC81" s="557"/>
      <c r="AD81" s="558"/>
      <c r="AE81" s="558"/>
      <c r="AF81" s="558"/>
      <c r="AG81" s="559">
        <v>1</v>
      </c>
      <c r="AH81" s="559"/>
      <c r="AI81" s="559"/>
      <c r="AJ81" s="559"/>
      <c r="AK81" s="585">
        <f>594.67*30.41</f>
        <v>18083.914699999998</v>
      </c>
      <c r="AL81" s="586"/>
      <c r="AM81" s="586"/>
      <c r="AN81" s="586"/>
      <c r="AO81" s="586"/>
      <c r="AP81" s="587"/>
      <c r="AQ81" s="583">
        <f t="shared" si="11"/>
        <v>217006.97639999999</v>
      </c>
      <c r="AR81" s="583"/>
      <c r="AS81" s="583"/>
      <c r="AT81" s="583"/>
      <c r="AU81" s="583"/>
      <c r="AV81" s="583"/>
      <c r="AW81" s="583"/>
      <c r="AX81" s="583"/>
      <c r="AY81" s="588"/>
      <c r="AZ81" s="589"/>
      <c r="BA81" s="589"/>
      <c r="BB81" s="589"/>
      <c r="BC81" s="589"/>
      <c r="BD81" s="589"/>
      <c r="BE81" s="589"/>
      <c r="BF81" s="590"/>
      <c r="BG81" s="582">
        <f>594.67*10</f>
        <v>5946.7</v>
      </c>
      <c r="BH81" s="582"/>
      <c r="BI81" s="582"/>
      <c r="BJ81" s="582"/>
      <c r="BK81" s="582"/>
      <c r="BL81" s="582"/>
      <c r="BM81" s="582"/>
      <c r="BN81" s="582"/>
      <c r="BO81" s="579">
        <f t="shared" si="9"/>
        <v>29726.983068493148</v>
      </c>
      <c r="BP81" s="580"/>
      <c r="BQ81" s="580"/>
      <c r="BR81" s="580"/>
      <c r="BS81" s="580"/>
      <c r="BT81" s="580"/>
      <c r="BU81" s="580"/>
      <c r="BV81" s="581"/>
      <c r="BW81" s="582"/>
      <c r="BX81" s="582"/>
      <c r="BY81" s="582"/>
      <c r="BZ81" s="582"/>
      <c r="CA81" s="582"/>
      <c r="CB81" s="582"/>
      <c r="CC81" s="582"/>
      <c r="CD81" s="582"/>
      <c r="CE81" s="582"/>
      <c r="CF81" s="582"/>
      <c r="CG81" s="582"/>
      <c r="CH81" s="582"/>
      <c r="CI81" s="582"/>
      <c r="CJ81" s="582"/>
      <c r="CK81" s="582"/>
      <c r="CL81" s="582"/>
      <c r="CM81" s="582"/>
      <c r="CN81" s="582"/>
      <c r="CO81" s="582"/>
      <c r="CP81" s="582"/>
      <c r="CQ81" s="582"/>
      <c r="CR81" s="582"/>
      <c r="CS81" s="582"/>
      <c r="CT81" s="582"/>
      <c r="CU81" s="582"/>
      <c r="CV81" s="583">
        <f t="shared" si="10"/>
        <v>252680.65946849313</v>
      </c>
      <c r="CW81" s="583"/>
      <c r="CX81" s="583"/>
      <c r="CY81" s="583"/>
      <c r="CZ81" s="583"/>
      <c r="DA81" s="583"/>
      <c r="DB81" s="583"/>
      <c r="DC81" s="583"/>
      <c r="DD81" s="583"/>
      <c r="DE81" s="584"/>
    </row>
    <row r="82" spans="1:109" s="2" customFormat="1" ht="23.25" customHeight="1">
      <c r="A82" s="597" t="s">
        <v>1220</v>
      </c>
      <c r="B82" s="598"/>
      <c r="C82" s="598"/>
      <c r="D82" s="598"/>
      <c r="E82" s="598"/>
      <c r="F82" s="598"/>
      <c r="G82" s="598"/>
      <c r="H82" s="598"/>
      <c r="I82" s="598"/>
      <c r="J82" s="598"/>
      <c r="K82" s="598"/>
      <c r="L82" s="598"/>
      <c r="M82" s="598"/>
      <c r="N82" s="598"/>
      <c r="O82" s="598"/>
      <c r="P82" s="557" t="s">
        <v>645</v>
      </c>
      <c r="Q82" s="557"/>
      <c r="R82" s="557"/>
      <c r="S82" s="557"/>
      <c r="T82" s="557"/>
      <c r="U82" s="557"/>
      <c r="V82" s="557"/>
      <c r="W82" s="557"/>
      <c r="X82" s="557"/>
      <c r="Y82" s="557"/>
      <c r="Z82" s="557"/>
      <c r="AA82" s="557"/>
      <c r="AB82" s="557"/>
      <c r="AC82" s="557"/>
      <c r="AD82" s="558"/>
      <c r="AE82" s="558"/>
      <c r="AF82" s="558"/>
      <c r="AG82" s="559">
        <v>1</v>
      </c>
      <c r="AH82" s="559"/>
      <c r="AI82" s="559"/>
      <c r="AJ82" s="559"/>
      <c r="AK82" s="585">
        <f>393.95*30.41</f>
        <v>11980.0195</v>
      </c>
      <c r="AL82" s="586"/>
      <c r="AM82" s="586"/>
      <c r="AN82" s="586"/>
      <c r="AO82" s="586"/>
      <c r="AP82" s="587"/>
      <c r="AQ82" s="583">
        <f t="shared" si="11"/>
        <v>143760.234</v>
      </c>
      <c r="AR82" s="583"/>
      <c r="AS82" s="583"/>
      <c r="AT82" s="583"/>
      <c r="AU82" s="583"/>
      <c r="AV82" s="583"/>
      <c r="AW82" s="583"/>
      <c r="AX82" s="583"/>
      <c r="AY82" s="588"/>
      <c r="AZ82" s="589"/>
      <c r="BA82" s="589"/>
      <c r="BB82" s="589"/>
      <c r="BC82" s="589"/>
      <c r="BD82" s="589"/>
      <c r="BE82" s="589"/>
      <c r="BF82" s="590"/>
      <c r="BG82" s="582">
        <f>393.95*10</f>
        <v>3939.5</v>
      </c>
      <c r="BH82" s="582"/>
      <c r="BI82" s="582"/>
      <c r="BJ82" s="582"/>
      <c r="BK82" s="582"/>
      <c r="BL82" s="582"/>
      <c r="BM82" s="582"/>
      <c r="BN82" s="582"/>
      <c r="BO82" s="579">
        <f t="shared" si="9"/>
        <v>19693.182739726028</v>
      </c>
      <c r="BP82" s="580"/>
      <c r="BQ82" s="580"/>
      <c r="BR82" s="580"/>
      <c r="BS82" s="580"/>
      <c r="BT82" s="580"/>
      <c r="BU82" s="580"/>
      <c r="BV82" s="581"/>
      <c r="BW82" s="582"/>
      <c r="BX82" s="582"/>
      <c r="BY82" s="582"/>
      <c r="BZ82" s="582"/>
      <c r="CA82" s="582"/>
      <c r="CB82" s="582"/>
      <c r="CC82" s="582"/>
      <c r="CD82" s="582"/>
      <c r="CE82" s="582"/>
      <c r="CF82" s="582"/>
      <c r="CG82" s="582"/>
      <c r="CH82" s="582"/>
      <c r="CI82" s="582"/>
      <c r="CJ82" s="582"/>
      <c r="CK82" s="582"/>
      <c r="CL82" s="582"/>
      <c r="CM82" s="582"/>
      <c r="CN82" s="582">
        <f>400*24</f>
        <v>9600</v>
      </c>
      <c r="CO82" s="582"/>
      <c r="CP82" s="582"/>
      <c r="CQ82" s="582"/>
      <c r="CR82" s="582"/>
      <c r="CS82" s="582"/>
      <c r="CT82" s="582"/>
      <c r="CU82" s="582"/>
      <c r="CV82" s="583">
        <f t="shared" si="10"/>
        <v>176992.91673972603</v>
      </c>
      <c r="CW82" s="583"/>
      <c r="CX82" s="583"/>
      <c r="CY82" s="583"/>
      <c r="CZ82" s="583"/>
      <c r="DA82" s="583"/>
      <c r="DB82" s="583"/>
      <c r="DC82" s="583"/>
      <c r="DD82" s="583"/>
      <c r="DE82" s="584"/>
    </row>
    <row r="83" spans="1:109" s="2" customFormat="1" ht="23.25" customHeight="1">
      <c r="A83" s="597" t="s">
        <v>1221</v>
      </c>
      <c r="B83" s="598"/>
      <c r="C83" s="598"/>
      <c r="D83" s="598"/>
      <c r="E83" s="598"/>
      <c r="F83" s="598"/>
      <c r="G83" s="598"/>
      <c r="H83" s="598"/>
      <c r="I83" s="598"/>
      <c r="J83" s="598"/>
      <c r="K83" s="598"/>
      <c r="L83" s="598"/>
      <c r="M83" s="598"/>
      <c r="N83" s="598"/>
      <c r="O83" s="598"/>
      <c r="P83" s="557" t="s">
        <v>645</v>
      </c>
      <c r="Q83" s="557"/>
      <c r="R83" s="557"/>
      <c r="S83" s="557"/>
      <c r="T83" s="557"/>
      <c r="U83" s="557"/>
      <c r="V83" s="557"/>
      <c r="W83" s="557"/>
      <c r="X83" s="557"/>
      <c r="Y83" s="557"/>
      <c r="Z83" s="557"/>
      <c r="AA83" s="557"/>
      <c r="AB83" s="557"/>
      <c r="AC83" s="557"/>
      <c r="AD83" s="558"/>
      <c r="AE83" s="558"/>
      <c r="AF83" s="558"/>
      <c r="AG83" s="559">
        <v>1</v>
      </c>
      <c r="AH83" s="559"/>
      <c r="AI83" s="559"/>
      <c r="AJ83" s="559"/>
      <c r="AK83" s="585">
        <f>250.29*30.41</f>
        <v>7611.3189000000002</v>
      </c>
      <c r="AL83" s="586"/>
      <c r="AM83" s="586"/>
      <c r="AN83" s="586"/>
      <c r="AO83" s="586"/>
      <c r="AP83" s="587"/>
      <c r="AQ83" s="583">
        <f t="shared" si="11"/>
        <v>91335.82680000001</v>
      </c>
      <c r="AR83" s="583"/>
      <c r="AS83" s="583"/>
      <c r="AT83" s="583"/>
      <c r="AU83" s="583"/>
      <c r="AV83" s="583"/>
      <c r="AW83" s="583"/>
      <c r="AX83" s="583"/>
      <c r="AY83" s="588"/>
      <c r="AZ83" s="589"/>
      <c r="BA83" s="589"/>
      <c r="BB83" s="589"/>
      <c r="BC83" s="589"/>
      <c r="BD83" s="589"/>
      <c r="BE83" s="589"/>
      <c r="BF83" s="590"/>
      <c r="BG83" s="582">
        <f>250.29*10</f>
        <v>2502.9</v>
      </c>
      <c r="BH83" s="582"/>
      <c r="BI83" s="582"/>
      <c r="BJ83" s="582"/>
      <c r="BK83" s="582"/>
      <c r="BL83" s="582"/>
      <c r="BM83" s="582"/>
      <c r="BN83" s="582"/>
      <c r="BO83" s="579">
        <f t="shared" si="9"/>
        <v>12511.757095890413</v>
      </c>
      <c r="BP83" s="580"/>
      <c r="BQ83" s="580"/>
      <c r="BR83" s="580"/>
      <c r="BS83" s="580"/>
      <c r="BT83" s="580"/>
      <c r="BU83" s="580"/>
      <c r="BV83" s="581"/>
      <c r="BW83" s="582"/>
      <c r="BX83" s="582"/>
      <c r="BY83" s="582"/>
      <c r="BZ83" s="582"/>
      <c r="CA83" s="582"/>
      <c r="CB83" s="582"/>
      <c r="CC83" s="582"/>
      <c r="CD83" s="582"/>
      <c r="CE83" s="582"/>
      <c r="CF83" s="582"/>
      <c r="CG83" s="582"/>
      <c r="CH83" s="582"/>
      <c r="CI83" s="582"/>
      <c r="CJ83" s="582"/>
      <c r="CK83" s="582"/>
      <c r="CL83" s="582"/>
      <c r="CM83" s="582"/>
      <c r="CN83" s="582">
        <f t="shared" si="12"/>
        <v>9600</v>
      </c>
      <c r="CO83" s="582"/>
      <c r="CP83" s="582"/>
      <c r="CQ83" s="582"/>
      <c r="CR83" s="582"/>
      <c r="CS83" s="582"/>
      <c r="CT83" s="582"/>
      <c r="CU83" s="582"/>
      <c r="CV83" s="583">
        <f t="shared" si="10"/>
        <v>115950.48389589041</v>
      </c>
      <c r="CW83" s="583"/>
      <c r="CX83" s="583"/>
      <c r="CY83" s="583"/>
      <c r="CZ83" s="583"/>
      <c r="DA83" s="583"/>
      <c r="DB83" s="583"/>
      <c r="DC83" s="583"/>
      <c r="DD83" s="583"/>
      <c r="DE83" s="584"/>
    </row>
    <row r="84" spans="1:109" s="2" customFormat="1" ht="23.25" customHeight="1">
      <c r="A84" s="597" t="s">
        <v>1222</v>
      </c>
      <c r="B84" s="598"/>
      <c r="C84" s="598"/>
      <c r="D84" s="598"/>
      <c r="E84" s="598"/>
      <c r="F84" s="598"/>
      <c r="G84" s="598"/>
      <c r="H84" s="598"/>
      <c r="I84" s="598"/>
      <c r="J84" s="598"/>
      <c r="K84" s="598"/>
      <c r="L84" s="598"/>
      <c r="M84" s="598"/>
      <c r="N84" s="598"/>
      <c r="O84" s="598"/>
      <c r="P84" s="557" t="s">
        <v>645</v>
      </c>
      <c r="Q84" s="557"/>
      <c r="R84" s="557"/>
      <c r="S84" s="557"/>
      <c r="T84" s="557"/>
      <c r="U84" s="557"/>
      <c r="V84" s="557"/>
      <c r="W84" s="557"/>
      <c r="X84" s="557"/>
      <c r="Y84" s="557"/>
      <c r="Z84" s="557"/>
      <c r="AA84" s="557"/>
      <c r="AB84" s="557"/>
      <c r="AC84" s="557"/>
      <c r="AD84" s="558"/>
      <c r="AE84" s="558"/>
      <c r="AF84" s="558"/>
      <c r="AG84" s="559">
        <v>1</v>
      </c>
      <c r="AH84" s="559"/>
      <c r="AI84" s="559"/>
      <c r="AJ84" s="559"/>
      <c r="AK84" s="585">
        <f>296.54*30.41</f>
        <v>9017.7813999999998</v>
      </c>
      <c r="AL84" s="586"/>
      <c r="AM84" s="586"/>
      <c r="AN84" s="586"/>
      <c r="AO84" s="586"/>
      <c r="AP84" s="587"/>
      <c r="AQ84" s="583">
        <f t="shared" si="11"/>
        <v>108213.3768</v>
      </c>
      <c r="AR84" s="583"/>
      <c r="AS84" s="583"/>
      <c r="AT84" s="583"/>
      <c r="AU84" s="583"/>
      <c r="AV84" s="583"/>
      <c r="AW84" s="583"/>
      <c r="AX84" s="583"/>
      <c r="AY84" s="588"/>
      <c r="AZ84" s="589"/>
      <c r="BA84" s="589"/>
      <c r="BB84" s="589"/>
      <c r="BC84" s="589"/>
      <c r="BD84" s="589"/>
      <c r="BE84" s="589"/>
      <c r="BF84" s="590"/>
      <c r="BG84" s="582">
        <f>296.54*10</f>
        <v>2965.4</v>
      </c>
      <c r="BH84" s="582"/>
      <c r="BI84" s="582"/>
      <c r="BJ84" s="582"/>
      <c r="BK84" s="582"/>
      <c r="BL84" s="582"/>
      <c r="BM84" s="582"/>
      <c r="BN84" s="582"/>
      <c r="BO84" s="579">
        <f t="shared" si="9"/>
        <v>14823.75024657534</v>
      </c>
      <c r="BP84" s="580"/>
      <c r="BQ84" s="580"/>
      <c r="BR84" s="580"/>
      <c r="BS84" s="580"/>
      <c r="BT84" s="580"/>
      <c r="BU84" s="580"/>
      <c r="BV84" s="581"/>
      <c r="BW84" s="582"/>
      <c r="BX84" s="582"/>
      <c r="BY84" s="582"/>
      <c r="BZ84" s="582"/>
      <c r="CA84" s="582"/>
      <c r="CB84" s="582"/>
      <c r="CC84" s="582"/>
      <c r="CD84" s="582"/>
      <c r="CE84" s="582"/>
      <c r="CF84" s="582"/>
      <c r="CG84" s="582"/>
      <c r="CH84" s="582"/>
      <c r="CI84" s="582"/>
      <c r="CJ84" s="582"/>
      <c r="CK84" s="582"/>
      <c r="CL84" s="582"/>
      <c r="CM84" s="582"/>
      <c r="CN84" s="582">
        <f t="shared" si="12"/>
        <v>9600</v>
      </c>
      <c r="CO84" s="582"/>
      <c r="CP84" s="582"/>
      <c r="CQ84" s="582"/>
      <c r="CR84" s="582"/>
      <c r="CS84" s="582"/>
      <c r="CT84" s="582"/>
      <c r="CU84" s="582"/>
      <c r="CV84" s="583">
        <f t="shared" si="10"/>
        <v>135602.52704657533</v>
      </c>
      <c r="CW84" s="583"/>
      <c r="CX84" s="583"/>
      <c r="CY84" s="583"/>
      <c r="CZ84" s="583"/>
      <c r="DA84" s="583"/>
      <c r="DB84" s="583"/>
      <c r="DC84" s="583"/>
      <c r="DD84" s="583"/>
      <c r="DE84" s="584"/>
    </row>
    <row r="85" spans="1:109" s="2" customFormat="1" ht="23.25" customHeight="1">
      <c r="A85" s="597" t="s">
        <v>1223</v>
      </c>
      <c r="B85" s="598"/>
      <c r="C85" s="598"/>
      <c r="D85" s="598"/>
      <c r="E85" s="598"/>
      <c r="F85" s="598"/>
      <c r="G85" s="598"/>
      <c r="H85" s="598"/>
      <c r="I85" s="598"/>
      <c r="J85" s="598"/>
      <c r="K85" s="598"/>
      <c r="L85" s="598"/>
      <c r="M85" s="598"/>
      <c r="N85" s="598"/>
      <c r="O85" s="598"/>
      <c r="P85" s="557" t="s">
        <v>645</v>
      </c>
      <c r="Q85" s="557"/>
      <c r="R85" s="557"/>
      <c r="S85" s="557"/>
      <c r="T85" s="557"/>
      <c r="U85" s="557"/>
      <c r="V85" s="557"/>
      <c r="W85" s="557"/>
      <c r="X85" s="557"/>
      <c r="Y85" s="557"/>
      <c r="Z85" s="557"/>
      <c r="AA85" s="557"/>
      <c r="AB85" s="557"/>
      <c r="AC85" s="557"/>
      <c r="AD85" s="558"/>
      <c r="AE85" s="558"/>
      <c r="AF85" s="558"/>
      <c r="AG85" s="559">
        <v>1</v>
      </c>
      <c r="AH85" s="559"/>
      <c r="AI85" s="559"/>
      <c r="AJ85" s="559"/>
      <c r="AK85" s="585">
        <f>296.54*30.41</f>
        <v>9017.7813999999998</v>
      </c>
      <c r="AL85" s="586"/>
      <c r="AM85" s="586"/>
      <c r="AN85" s="586"/>
      <c r="AO85" s="586"/>
      <c r="AP85" s="587"/>
      <c r="AQ85" s="583">
        <f t="shared" si="11"/>
        <v>108213.3768</v>
      </c>
      <c r="AR85" s="583"/>
      <c r="AS85" s="583"/>
      <c r="AT85" s="583"/>
      <c r="AU85" s="583"/>
      <c r="AV85" s="583"/>
      <c r="AW85" s="583"/>
      <c r="AX85" s="583"/>
      <c r="AY85" s="588"/>
      <c r="AZ85" s="589"/>
      <c r="BA85" s="589"/>
      <c r="BB85" s="589"/>
      <c r="BC85" s="589"/>
      <c r="BD85" s="589"/>
      <c r="BE85" s="589"/>
      <c r="BF85" s="590"/>
      <c r="BG85" s="582">
        <f>296.54*10</f>
        <v>2965.4</v>
      </c>
      <c r="BH85" s="582"/>
      <c r="BI85" s="582"/>
      <c r="BJ85" s="582"/>
      <c r="BK85" s="582"/>
      <c r="BL85" s="582"/>
      <c r="BM85" s="582"/>
      <c r="BN85" s="582"/>
      <c r="BO85" s="579">
        <f t="shared" si="9"/>
        <v>14823.75024657534</v>
      </c>
      <c r="BP85" s="580"/>
      <c r="BQ85" s="580"/>
      <c r="BR85" s="580"/>
      <c r="BS85" s="580"/>
      <c r="BT85" s="580"/>
      <c r="BU85" s="580"/>
      <c r="BV85" s="581"/>
      <c r="BW85" s="582"/>
      <c r="BX85" s="582"/>
      <c r="BY85" s="582"/>
      <c r="BZ85" s="582"/>
      <c r="CA85" s="582"/>
      <c r="CB85" s="582"/>
      <c r="CC85" s="582"/>
      <c r="CD85" s="582"/>
      <c r="CE85" s="582"/>
      <c r="CF85" s="582"/>
      <c r="CG85" s="582"/>
      <c r="CH85" s="582"/>
      <c r="CI85" s="582"/>
      <c r="CJ85" s="582"/>
      <c r="CK85" s="582"/>
      <c r="CL85" s="582"/>
      <c r="CM85" s="582"/>
      <c r="CN85" s="582">
        <f t="shared" si="12"/>
        <v>9600</v>
      </c>
      <c r="CO85" s="582"/>
      <c r="CP85" s="582"/>
      <c r="CQ85" s="582"/>
      <c r="CR85" s="582"/>
      <c r="CS85" s="582"/>
      <c r="CT85" s="582"/>
      <c r="CU85" s="582"/>
      <c r="CV85" s="583">
        <f t="shared" si="10"/>
        <v>135602.52704657533</v>
      </c>
      <c r="CW85" s="583"/>
      <c r="CX85" s="583"/>
      <c r="CY85" s="583"/>
      <c r="CZ85" s="583"/>
      <c r="DA85" s="583"/>
      <c r="DB85" s="583"/>
      <c r="DC85" s="583"/>
      <c r="DD85" s="583"/>
      <c r="DE85" s="584"/>
    </row>
    <row r="86" spans="1:109" s="2" customFormat="1" ht="23.25" customHeight="1">
      <c r="A86" s="597" t="s">
        <v>1224</v>
      </c>
      <c r="B86" s="598"/>
      <c r="C86" s="598"/>
      <c r="D86" s="598"/>
      <c r="E86" s="598"/>
      <c r="F86" s="598"/>
      <c r="G86" s="598"/>
      <c r="H86" s="598"/>
      <c r="I86" s="598"/>
      <c r="J86" s="598"/>
      <c r="K86" s="598"/>
      <c r="L86" s="598"/>
      <c r="M86" s="598"/>
      <c r="N86" s="598"/>
      <c r="O86" s="598"/>
      <c r="P86" s="557" t="s">
        <v>1225</v>
      </c>
      <c r="Q86" s="557"/>
      <c r="R86" s="557"/>
      <c r="S86" s="557"/>
      <c r="T86" s="557"/>
      <c r="U86" s="557"/>
      <c r="V86" s="557"/>
      <c r="W86" s="557"/>
      <c r="X86" s="557"/>
      <c r="Y86" s="557"/>
      <c r="Z86" s="557"/>
      <c r="AA86" s="557"/>
      <c r="AB86" s="557"/>
      <c r="AC86" s="557"/>
      <c r="AD86" s="558"/>
      <c r="AE86" s="558"/>
      <c r="AF86" s="558"/>
      <c r="AG86" s="559">
        <v>1</v>
      </c>
      <c r="AH86" s="559"/>
      <c r="AI86" s="559"/>
      <c r="AJ86" s="559"/>
      <c r="AK86" s="585">
        <f>594.67*30.41</f>
        <v>18083.914699999998</v>
      </c>
      <c r="AL86" s="586"/>
      <c r="AM86" s="586"/>
      <c r="AN86" s="586"/>
      <c r="AO86" s="586"/>
      <c r="AP86" s="587"/>
      <c r="AQ86" s="583">
        <f t="shared" si="11"/>
        <v>217006.97639999999</v>
      </c>
      <c r="AR86" s="583"/>
      <c r="AS86" s="583"/>
      <c r="AT86" s="583"/>
      <c r="AU86" s="583"/>
      <c r="AV86" s="583"/>
      <c r="AW86" s="583"/>
      <c r="AX86" s="583"/>
      <c r="AY86" s="588"/>
      <c r="AZ86" s="589"/>
      <c r="BA86" s="589"/>
      <c r="BB86" s="589"/>
      <c r="BC86" s="589"/>
      <c r="BD86" s="589"/>
      <c r="BE86" s="589"/>
      <c r="BF86" s="590"/>
      <c r="BG86" s="582">
        <f>594.67*10</f>
        <v>5946.7</v>
      </c>
      <c r="BH86" s="582"/>
      <c r="BI86" s="582"/>
      <c r="BJ86" s="582"/>
      <c r="BK86" s="582"/>
      <c r="BL86" s="582"/>
      <c r="BM86" s="582"/>
      <c r="BN86" s="582"/>
      <c r="BO86" s="579">
        <f t="shared" si="9"/>
        <v>29726.983068493148</v>
      </c>
      <c r="BP86" s="580"/>
      <c r="BQ86" s="580"/>
      <c r="BR86" s="580"/>
      <c r="BS86" s="580"/>
      <c r="BT86" s="580"/>
      <c r="BU86" s="580"/>
      <c r="BV86" s="581"/>
      <c r="BW86" s="582"/>
      <c r="BX86" s="582"/>
      <c r="BY86" s="582"/>
      <c r="BZ86" s="582"/>
      <c r="CA86" s="582"/>
      <c r="CB86" s="582"/>
      <c r="CC86" s="582"/>
      <c r="CD86" s="582"/>
      <c r="CE86" s="582"/>
      <c r="CF86" s="582"/>
      <c r="CG86" s="582"/>
      <c r="CH86" s="582"/>
      <c r="CI86" s="582"/>
      <c r="CJ86" s="582"/>
      <c r="CK86" s="582"/>
      <c r="CL86" s="582"/>
      <c r="CM86" s="582"/>
      <c r="CN86" s="582"/>
      <c r="CO86" s="582"/>
      <c r="CP86" s="582"/>
      <c r="CQ86" s="582"/>
      <c r="CR86" s="582"/>
      <c r="CS86" s="582"/>
      <c r="CT86" s="582"/>
      <c r="CU86" s="582"/>
      <c r="CV86" s="583">
        <f t="shared" si="10"/>
        <v>252680.65946849313</v>
      </c>
      <c r="CW86" s="583"/>
      <c r="CX86" s="583"/>
      <c r="CY86" s="583"/>
      <c r="CZ86" s="583"/>
      <c r="DA86" s="583"/>
      <c r="DB86" s="583"/>
      <c r="DC86" s="583"/>
      <c r="DD86" s="583"/>
      <c r="DE86" s="584"/>
    </row>
    <row r="87" spans="1:109" s="2" customFormat="1" ht="23.25" customHeight="1">
      <c r="A87" s="597" t="s">
        <v>1159</v>
      </c>
      <c r="B87" s="598"/>
      <c r="C87" s="598"/>
      <c r="D87" s="598"/>
      <c r="E87" s="598"/>
      <c r="F87" s="598"/>
      <c r="G87" s="598"/>
      <c r="H87" s="598"/>
      <c r="I87" s="598"/>
      <c r="J87" s="598"/>
      <c r="K87" s="598"/>
      <c r="L87" s="598"/>
      <c r="M87" s="598"/>
      <c r="N87" s="598"/>
      <c r="O87" s="598"/>
      <c r="P87" s="557" t="s">
        <v>1225</v>
      </c>
      <c r="Q87" s="557"/>
      <c r="R87" s="557"/>
      <c r="S87" s="557"/>
      <c r="T87" s="557"/>
      <c r="U87" s="557"/>
      <c r="V87" s="557"/>
      <c r="W87" s="557"/>
      <c r="X87" s="557"/>
      <c r="Y87" s="557"/>
      <c r="Z87" s="557"/>
      <c r="AA87" s="557"/>
      <c r="AB87" s="557"/>
      <c r="AC87" s="557"/>
      <c r="AD87" s="558"/>
      <c r="AE87" s="558"/>
      <c r="AF87" s="558"/>
      <c r="AG87" s="559">
        <v>1</v>
      </c>
      <c r="AH87" s="559"/>
      <c r="AI87" s="559"/>
      <c r="AJ87" s="559"/>
      <c r="AK87" s="585">
        <f>250.29*30.41</f>
        <v>7611.3189000000002</v>
      </c>
      <c r="AL87" s="586"/>
      <c r="AM87" s="586"/>
      <c r="AN87" s="586"/>
      <c r="AO87" s="586"/>
      <c r="AP87" s="587"/>
      <c r="AQ87" s="583">
        <f t="shared" si="11"/>
        <v>91335.82680000001</v>
      </c>
      <c r="AR87" s="583"/>
      <c r="AS87" s="583"/>
      <c r="AT87" s="583"/>
      <c r="AU87" s="583"/>
      <c r="AV87" s="583"/>
      <c r="AW87" s="583"/>
      <c r="AX87" s="583"/>
      <c r="AY87" s="588"/>
      <c r="AZ87" s="589"/>
      <c r="BA87" s="589"/>
      <c r="BB87" s="589"/>
      <c r="BC87" s="589"/>
      <c r="BD87" s="589"/>
      <c r="BE87" s="589"/>
      <c r="BF87" s="590"/>
      <c r="BG87" s="582">
        <f>250.29*10</f>
        <v>2502.9</v>
      </c>
      <c r="BH87" s="582"/>
      <c r="BI87" s="582"/>
      <c r="BJ87" s="582"/>
      <c r="BK87" s="582"/>
      <c r="BL87" s="582"/>
      <c r="BM87" s="582"/>
      <c r="BN87" s="582"/>
      <c r="BO87" s="579">
        <f t="shared" si="9"/>
        <v>12511.757095890413</v>
      </c>
      <c r="BP87" s="580"/>
      <c r="BQ87" s="580"/>
      <c r="BR87" s="580"/>
      <c r="BS87" s="580"/>
      <c r="BT87" s="580"/>
      <c r="BU87" s="580"/>
      <c r="BV87" s="581"/>
      <c r="BW87" s="582"/>
      <c r="BX87" s="582"/>
      <c r="BY87" s="582"/>
      <c r="BZ87" s="582"/>
      <c r="CA87" s="582"/>
      <c r="CB87" s="582"/>
      <c r="CC87" s="582"/>
      <c r="CD87" s="582"/>
      <c r="CE87" s="582"/>
      <c r="CF87" s="582"/>
      <c r="CG87" s="582"/>
      <c r="CH87" s="582"/>
      <c r="CI87" s="582"/>
      <c r="CJ87" s="582"/>
      <c r="CK87" s="582"/>
      <c r="CL87" s="582"/>
      <c r="CM87" s="582"/>
      <c r="CN87" s="582">
        <f t="shared" si="12"/>
        <v>9600</v>
      </c>
      <c r="CO87" s="582"/>
      <c r="CP87" s="582"/>
      <c r="CQ87" s="582"/>
      <c r="CR87" s="582"/>
      <c r="CS87" s="582"/>
      <c r="CT87" s="582"/>
      <c r="CU87" s="582"/>
      <c r="CV87" s="583">
        <f t="shared" si="10"/>
        <v>115950.48389589041</v>
      </c>
      <c r="CW87" s="583"/>
      <c r="CX87" s="583"/>
      <c r="CY87" s="583"/>
      <c r="CZ87" s="583"/>
      <c r="DA87" s="583"/>
      <c r="DB87" s="583"/>
      <c r="DC87" s="583"/>
      <c r="DD87" s="583"/>
      <c r="DE87" s="584"/>
    </row>
    <row r="88" spans="1:109" s="2" customFormat="1" ht="23.25" customHeight="1">
      <c r="A88" s="554" t="s">
        <v>1226</v>
      </c>
      <c r="B88" s="555"/>
      <c r="C88" s="555"/>
      <c r="D88" s="555"/>
      <c r="E88" s="555"/>
      <c r="F88" s="555"/>
      <c r="G88" s="555"/>
      <c r="H88" s="555"/>
      <c r="I88" s="555"/>
      <c r="J88" s="555"/>
      <c r="K88" s="555"/>
      <c r="L88" s="555"/>
      <c r="M88" s="555"/>
      <c r="N88" s="555"/>
      <c r="O88" s="556"/>
      <c r="P88" s="557" t="s">
        <v>1225</v>
      </c>
      <c r="Q88" s="557"/>
      <c r="R88" s="557"/>
      <c r="S88" s="557"/>
      <c r="T88" s="557"/>
      <c r="U88" s="557"/>
      <c r="V88" s="557"/>
      <c r="W88" s="557"/>
      <c r="X88" s="557"/>
      <c r="Y88" s="557"/>
      <c r="Z88" s="557"/>
      <c r="AA88" s="557"/>
      <c r="AB88" s="557"/>
      <c r="AC88" s="557"/>
      <c r="AD88" s="558"/>
      <c r="AE88" s="558"/>
      <c r="AF88" s="558"/>
      <c r="AG88" s="559">
        <v>1</v>
      </c>
      <c r="AH88" s="559"/>
      <c r="AI88" s="559"/>
      <c r="AJ88" s="559"/>
      <c r="AK88" s="585">
        <f>296.54*30.41</f>
        <v>9017.7813999999998</v>
      </c>
      <c r="AL88" s="586"/>
      <c r="AM88" s="586"/>
      <c r="AN88" s="586"/>
      <c r="AO88" s="586"/>
      <c r="AP88" s="587"/>
      <c r="AQ88" s="583">
        <f t="shared" si="11"/>
        <v>108213.3768</v>
      </c>
      <c r="AR88" s="583"/>
      <c r="AS88" s="583"/>
      <c r="AT88" s="583"/>
      <c r="AU88" s="583"/>
      <c r="AV88" s="583"/>
      <c r="AW88" s="583"/>
      <c r="AX88" s="583"/>
      <c r="AY88" s="588"/>
      <c r="AZ88" s="589"/>
      <c r="BA88" s="589"/>
      <c r="BB88" s="589"/>
      <c r="BC88" s="589"/>
      <c r="BD88" s="589"/>
      <c r="BE88" s="589"/>
      <c r="BF88" s="590"/>
      <c r="BG88" s="582">
        <f>296.54*10</f>
        <v>2965.4</v>
      </c>
      <c r="BH88" s="582"/>
      <c r="BI88" s="582"/>
      <c r="BJ88" s="582"/>
      <c r="BK88" s="582"/>
      <c r="BL88" s="582"/>
      <c r="BM88" s="582"/>
      <c r="BN88" s="582"/>
      <c r="BO88" s="579">
        <f t="shared" si="9"/>
        <v>14823.75024657534</v>
      </c>
      <c r="BP88" s="580"/>
      <c r="BQ88" s="580"/>
      <c r="BR88" s="580"/>
      <c r="BS88" s="580"/>
      <c r="BT88" s="580"/>
      <c r="BU88" s="580"/>
      <c r="BV88" s="581"/>
      <c r="BW88" s="582"/>
      <c r="BX88" s="582"/>
      <c r="BY88" s="582"/>
      <c r="BZ88" s="582"/>
      <c r="CA88" s="582"/>
      <c r="CB88" s="582"/>
      <c r="CC88" s="582"/>
      <c r="CD88" s="582"/>
      <c r="CE88" s="582"/>
      <c r="CF88" s="582"/>
      <c r="CG88" s="582"/>
      <c r="CH88" s="582"/>
      <c r="CI88" s="582"/>
      <c r="CJ88" s="582"/>
      <c r="CK88" s="582"/>
      <c r="CL88" s="582"/>
      <c r="CM88" s="582"/>
      <c r="CN88" s="582">
        <f t="shared" si="12"/>
        <v>9600</v>
      </c>
      <c r="CO88" s="582"/>
      <c r="CP88" s="582"/>
      <c r="CQ88" s="582"/>
      <c r="CR88" s="582"/>
      <c r="CS88" s="582"/>
      <c r="CT88" s="582"/>
      <c r="CU88" s="582"/>
      <c r="CV88" s="583">
        <f t="shared" si="10"/>
        <v>135602.52704657533</v>
      </c>
      <c r="CW88" s="583"/>
      <c r="CX88" s="583"/>
      <c r="CY88" s="583"/>
      <c r="CZ88" s="583"/>
      <c r="DA88" s="583"/>
      <c r="DB88" s="583"/>
      <c r="DC88" s="583"/>
      <c r="DD88" s="583"/>
      <c r="DE88" s="584"/>
    </row>
    <row r="89" spans="1:109" s="2" customFormat="1" ht="23.25" customHeight="1">
      <c r="A89" s="597" t="s">
        <v>1227</v>
      </c>
      <c r="B89" s="598"/>
      <c r="C89" s="598"/>
      <c r="D89" s="598"/>
      <c r="E89" s="598"/>
      <c r="F89" s="598"/>
      <c r="G89" s="598"/>
      <c r="H89" s="598"/>
      <c r="I89" s="598"/>
      <c r="J89" s="598"/>
      <c r="K89" s="598"/>
      <c r="L89" s="598"/>
      <c r="M89" s="598"/>
      <c r="N89" s="598"/>
      <c r="O89" s="598"/>
      <c r="P89" s="557" t="s">
        <v>1225</v>
      </c>
      <c r="Q89" s="557"/>
      <c r="R89" s="557"/>
      <c r="S89" s="557"/>
      <c r="T89" s="557"/>
      <c r="U89" s="557"/>
      <c r="V89" s="557"/>
      <c r="W89" s="557"/>
      <c r="X89" s="557"/>
      <c r="Y89" s="557"/>
      <c r="Z89" s="557"/>
      <c r="AA89" s="557"/>
      <c r="AB89" s="557"/>
      <c r="AC89" s="557"/>
      <c r="AD89" s="558"/>
      <c r="AE89" s="558"/>
      <c r="AF89" s="558"/>
      <c r="AG89" s="559">
        <v>1</v>
      </c>
      <c r="AH89" s="559"/>
      <c r="AI89" s="559"/>
      <c r="AJ89" s="559"/>
      <c r="AK89" s="585">
        <f>209.47*30.41</f>
        <v>6369.9826999999996</v>
      </c>
      <c r="AL89" s="586"/>
      <c r="AM89" s="586"/>
      <c r="AN89" s="586"/>
      <c r="AO89" s="586"/>
      <c r="AP89" s="587"/>
      <c r="AQ89" s="583">
        <f t="shared" si="11"/>
        <v>76439.792399999991</v>
      </c>
      <c r="AR89" s="583"/>
      <c r="AS89" s="583"/>
      <c r="AT89" s="583"/>
      <c r="AU89" s="583"/>
      <c r="AV89" s="583"/>
      <c r="AW89" s="583"/>
      <c r="AX89" s="583"/>
      <c r="AY89" s="588"/>
      <c r="AZ89" s="589"/>
      <c r="BA89" s="589"/>
      <c r="BB89" s="589"/>
      <c r="BC89" s="589"/>
      <c r="BD89" s="589"/>
      <c r="BE89" s="589"/>
      <c r="BF89" s="590"/>
      <c r="BG89" s="582">
        <f>209.47*10</f>
        <v>2094.6999999999998</v>
      </c>
      <c r="BH89" s="582"/>
      <c r="BI89" s="582"/>
      <c r="BJ89" s="582"/>
      <c r="BK89" s="582"/>
      <c r="BL89" s="582"/>
      <c r="BM89" s="582"/>
      <c r="BN89" s="582"/>
      <c r="BO89" s="579">
        <f t="shared" si="9"/>
        <v>10471.204438356162</v>
      </c>
      <c r="BP89" s="580"/>
      <c r="BQ89" s="580"/>
      <c r="BR89" s="580"/>
      <c r="BS89" s="580"/>
      <c r="BT89" s="580"/>
      <c r="BU89" s="580"/>
      <c r="BV89" s="581"/>
      <c r="BW89" s="582"/>
      <c r="BX89" s="582"/>
      <c r="BY89" s="582"/>
      <c r="BZ89" s="582"/>
      <c r="CA89" s="582"/>
      <c r="CB89" s="582"/>
      <c r="CC89" s="582"/>
      <c r="CD89" s="582"/>
      <c r="CE89" s="582"/>
      <c r="CF89" s="582"/>
      <c r="CG89" s="582"/>
      <c r="CH89" s="582"/>
      <c r="CI89" s="582"/>
      <c r="CJ89" s="582"/>
      <c r="CK89" s="582"/>
      <c r="CL89" s="582"/>
      <c r="CM89" s="582"/>
      <c r="CN89" s="582">
        <f t="shared" si="12"/>
        <v>9600</v>
      </c>
      <c r="CO89" s="582"/>
      <c r="CP89" s="582"/>
      <c r="CQ89" s="582"/>
      <c r="CR89" s="582"/>
      <c r="CS89" s="582"/>
      <c r="CT89" s="582"/>
      <c r="CU89" s="582"/>
      <c r="CV89" s="583">
        <f t="shared" si="10"/>
        <v>98605.696838356147</v>
      </c>
      <c r="CW89" s="583"/>
      <c r="CX89" s="583"/>
      <c r="CY89" s="583"/>
      <c r="CZ89" s="583"/>
      <c r="DA89" s="583"/>
      <c r="DB89" s="583"/>
      <c r="DC89" s="583"/>
      <c r="DD89" s="583"/>
      <c r="DE89" s="584"/>
    </row>
    <row r="90" spans="1:109" s="2" customFormat="1" ht="23.25" customHeight="1">
      <c r="A90" s="597" t="s">
        <v>1227</v>
      </c>
      <c r="B90" s="598"/>
      <c r="C90" s="598"/>
      <c r="D90" s="598"/>
      <c r="E90" s="598"/>
      <c r="F90" s="598"/>
      <c r="G90" s="598"/>
      <c r="H90" s="598"/>
      <c r="I90" s="598"/>
      <c r="J90" s="598"/>
      <c r="K90" s="598"/>
      <c r="L90" s="598"/>
      <c r="M90" s="598"/>
      <c r="N90" s="598"/>
      <c r="O90" s="598"/>
      <c r="P90" s="557" t="s">
        <v>1225</v>
      </c>
      <c r="Q90" s="557"/>
      <c r="R90" s="557"/>
      <c r="S90" s="557"/>
      <c r="T90" s="557"/>
      <c r="U90" s="557"/>
      <c r="V90" s="557"/>
      <c r="W90" s="557"/>
      <c r="X90" s="557"/>
      <c r="Y90" s="557"/>
      <c r="Z90" s="557"/>
      <c r="AA90" s="557"/>
      <c r="AB90" s="557"/>
      <c r="AC90" s="557"/>
      <c r="AD90" s="558"/>
      <c r="AE90" s="558"/>
      <c r="AF90" s="558"/>
      <c r="AG90" s="559">
        <v>6</v>
      </c>
      <c r="AH90" s="559"/>
      <c r="AI90" s="559"/>
      <c r="AJ90" s="559"/>
      <c r="AK90" s="585">
        <f>209.47*30.41</f>
        <v>6369.9826999999996</v>
      </c>
      <c r="AL90" s="586"/>
      <c r="AM90" s="586"/>
      <c r="AN90" s="586"/>
      <c r="AO90" s="586"/>
      <c r="AP90" s="587"/>
      <c r="AQ90" s="583">
        <f t="shared" si="11"/>
        <v>458638.75439999998</v>
      </c>
      <c r="AR90" s="583"/>
      <c r="AS90" s="583"/>
      <c r="AT90" s="583"/>
      <c r="AU90" s="583"/>
      <c r="AV90" s="583"/>
      <c r="AW90" s="583"/>
      <c r="AX90" s="583"/>
      <c r="AY90" s="588"/>
      <c r="AZ90" s="589"/>
      <c r="BA90" s="589"/>
      <c r="BB90" s="589"/>
      <c r="BC90" s="589"/>
      <c r="BD90" s="589"/>
      <c r="BE90" s="589"/>
      <c r="BF90" s="590"/>
      <c r="BG90" s="582">
        <f>209.47*10</f>
        <v>2094.6999999999998</v>
      </c>
      <c r="BH90" s="582"/>
      <c r="BI90" s="582"/>
      <c r="BJ90" s="582"/>
      <c r="BK90" s="582"/>
      <c r="BL90" s="582"/>
      <c r="BM90" s="582"/>
      <c r="BN90" s="582"/>
      <c r="BO90" s="579">
        <f t="shared" si="9"/>
        <v>62827.226630136989</v>
      </c>
      <c r="BP90" s="580"/>
      <c r="BQ90" s="580"/>
      <c r="BR90" s="580"/>
      <c r="BS90" s="580"/>
      <c r="BT90" s="580"/>
      <c r="BU90" s="580"/>
      <c r="BV90" s="581"/>
      <c r="BW90" s="582"/>
      <c r="BX90" s="582"/>
      <c r="BY90" s="582"/>
      <c r="BZ90" s="582"/>
      <c r="CA90" s="582"/>
      <c r="CB90" s="582"/>
      <c r="CC90" s="582"/>
      <c r="CD90" s="582"/>
      <c r="CE90" s="582"/>
      <c r="CF90" s="582"/>
      <c r="CG90" s="582"/>
      <c r="CH90" s="582"/>
      <c r="CI90" s="582"/>
      <c r="CJ90" s="582"/>
      <c r="CK90" s="582"/>
      <c r="CL90" s="582"/>
      <c r="CM90" s="582"/>
      <c r="CN90" s="582">
        <f t="shared" si="12"/>
        <v>9600</v>
      </c>
      <c r="CO90" s="582"/>
      <c r="CP90" s="582"/>
      <c r="CQ90" s="582"/>
      <c r="CR90" s="582"/>
      <c r="CS90" s="582"/>
      <c r="CT90" s="582"/>
      <c r="CU90" s="582"/>
      <c r="CV90" s="583">
        <f t="shared" si="10"/>
        <v>533160.681030137</v>
      </c>
      <c r="CW90" s="583"/>
      <c r="CX90" s="583"/>
      <c r="CY90" s="583"/>
      <c r="CZ90" s="583"/>
      <c r="DA90" s="583"/>
      <c r="DB90" s="583"/>
      <c r="DC90" s="583"/>
      <c r="DD90" s="583"/>
      <c r="DE90" s="584"/>
    </row>
    <row r="91" spans="1:109" s="2" customFormat="1" ht="23.25" customHeight="1">
      <c r="A91" s="612" t="s">
        <v>1228</v>
      </c>
      <c r="B91" s="601"/>
      <c r="C91" s="601"/>
      <c r="D91" s="601"/>
      <c r="E91" s="601"/>
      <c r="F91" s="601"/>
      <c r="G91" s="601"/>
      <c r="H91" s="601"/>
      <c r="I91" s="601"/>
      <c r="J91" s="601"/>
      <c r="K91" s="601"/>
      <c r="L91" s="601"/>
      <c r="M91" s="601"/>
      <c r="N91" s="601"/>
      <c r="O91" s="602"/>
      <c r="P91" s="557" t="s">
        <v>1225</v>
      </c>
      <c r="Q91" s="557"/>
      <c r="R91" s="557"/>
      <c r="S91" s="557"/>
      <c r="T91" s="557"/>
      <c r="U91" s="557"/>
      <c r="V91" s="557"/>
      <c r="W91" s="557"/>
      <c r="X91" s="557"/>
      <c r="Y91" s="557"/>
      <c r="Z91" s="557"/>
      <c r="AA91" s="557"/>
      <c r="AB91" s="557"/>
      <c r="AC91" s="557"/>
      <c r="AD91" s="616"/>
      <c r="AE91" s="617"/>
      <c r="AF91" s="618"/>
      <c r="AG91" s="613">
        <v>1</v>
      </c>
      <c r="AH91" s="614"/>
      <c r="AI91" s="614"/>
      <c r="AJ91" s="615"/>
      <c r="AK91" s="585">
        <f>209.47*30.41</f>
        <v>6369.9826999999996</v>
      </c>
      <c r="AL91" s="586"/>
      <c r="AM91" s="586"/>
      <c r="AN91" s="586"/>
      <c r="AO91" s="586"/>
      <c r="AP91" s="587"/>
      <c r="AQ91" s="583">
        <f t="shared" si="11"/>
        <v>76439.792399999991</v>
      </c>
      <c r="AR91" s="583"/>
      <c r="AS91" s="583"/>
      <c r="AT91" s="583"/>
      <c r="AU91" s="583"/>
      <c r="AV91" s="583"/>
      <c r="AW91" s="583"/>
      <c r="AX91" s="583"/>
      <c r="AY91" s="411"/>
      <c r="AZ91" s="412"/>
      <c r="BA91" s="412"/>
      <c r="BB91" s="412"/>
      <c r="BC91" s="412"/>
      <c r="BD91" s="412"/>
      <c r="BE91" s="412"/>
      <c r="BF91" s="413"/>
      <c r="BG91" s="588">
        <f>209.47*10</f>
        <v>2094.6999999999998</v>
      </c>
      <c r="BH91" s="589"/>
      <c r="BI91" s="589"/>
      <c r="BJ91" s="589"/>
      <c r="BK91" s="589"/>
      <c r="BL91" s="589"/>
      <c r="BM91" s="589"/>
      <c r="BN91" s="590"/>
      <c r="BO91" s="579">
        <f t="shared" si="9"/>
        <v>10471.204438356162</v>
      </c>
      <c r="BP91" s="580"/>
      <c r="BQ91" s="580"/>
      <c r="BR91" s="580"/>
      <c r="BS91" s="580"/>
      <c r="BT91" s="580"/>
      <c r="BU91" s="580"/>
      <c r="BV91" s="581"/>
      <c r="BW91" s="609"/>
      <c r="BX91" s="610"/>
      <c r="BY91" s="610"/>
      <c r="BZ91" s="610"/>
      <c r="CA91" s="610"/>
      <c r="CB91" s="610"/>
      <c r="CC91" s="610"/>
      <c r="CD91" s="611"/>
      <c r="CE91" s="609"/>
      <c r="CF91" s="610"/>
      <c r="CG91" s="610"/>
      <c r="CH91" s="610"/>
      <c r="CI91" s="610"/>
      <c r="CJ91" s="610"/>
      <c r="CK91" s="610"/>
      <c r="CL91" s="610"/>
      <c r="CM91" s="611"/>
      <c r="CN91" s="582">
        <f t="shared" si="12"/>
        <v>9600</v>
      </c>
      <c r="CO91" s="582"/>
      <c r="CP91" s="582"/>
      <c r="CQ91" s="582"/>
      <c r="CR91" s="582"/>
      <c r="CS91" s="582"/>
      <c r="CT91" s="582"/>
      <c r="CU91" s="582"/>
      <c r="CV91" s="583">
        <f t="shared" si="10"/>
        <v>98605.696838356147</v>
      </c>
      <c r="CW91" s="583"/>
      <c r="CX91" s="583"/>
      <c r="CY91" s="583"/>
      <c r="CZ91" s="583"/>
      <c r="DA91" s="583"/>
      <c r="DB91" s="583"/>
      <c r="DC91" s="583"/>
      <c r="DD91" s="583"/>
      <c r="DE91" s="584"/>
    </row>
    <row r="92" spans="1:109" s="2" customFormat="1" ht="23.25" customHeight="1">
      <c r="A92" s="612" t="s">
        <v>1229</v>
      </c>
      <c r="B92" s="601"/>
      <c r="C92" s="601"/>
      <c r="D92" s="601"/>
      <c r="E92" s="601"/>
      <c r="F92" s="601"/>
      <c r="G92" s="601"/>
      <c r="H92" s="601"/>
      <c r="I92" s="601"/>
      <c r="J92" s="601"/>
      <c r="K92" s="601"/>
      <c r="L92" s="601"/>
      <c r="M92" s="601"/>
      <c r="N92" s="601"/>
      <c r="O92" s="602"/>
      <c r="P92" s="600" t="s">
        <v>1230</v>
      </c>
      <c r="Q92" s="601"/>
      <c r="R92" s="601"/>
      <c r="S92" s="601"/>
      <c r="T92" s="601"/>
      <c r="U92" s="601"/>
      <c r="V92" s="601"/>
      <c r="W92" s="601"/>
      <c r="X92" s="601"/>
      <c r="Y92" s="601"/>
      <c r="Z92" s="601"/>
      <c r="AA92" s="601"/>
      <c r="AB92" s="601"/>
      <c r="AC92" s="602"/>
      <c r="AD92" s="414"/>
      <c r="AE92" s="415"/>
      <c r="AF92" s="416"/>
      <c r="AG92" s="613">
        <v>1</v>
      </c>
      <c r="AH92" s="614"/>
      <c r="AI92" s="614"/>
      <c r="AJ92" s="615"/>
      <c r="AK92" s="585">
        <f>594.67*30.41</f>
        <v>18083.914699999998</v>
      </c>
      <c r="AL92" s="586"/>
      <c r="AM92" s="586"/>
      <c r="AN92" s="586"/>
      <c r="AO92" s="586"/>
      <c r="AP92" s="587"/>
      <c r="AQ92" s="583">
        <f t="shared" si="11"/>
        <v>217006.97639999999</v>
      </c>
      <c r="AR92" s="583"/>
      <c r="AS92" s="583"/>
      <c r="AT92" s="583"/>
      <c r="AU92" s="583"/>
      <c r="AV92" s="583"/>
      <c r="AW92" s="583"/>
      <c r="AX92" s="583"/>
      <c r="AY92" s="588"/>
      <c r="AZ92" s="589"/>
      <c r="BA92" s="589"/>
      <c r="BB92" s="589"/>
      <c r="BC92" s="589"/>
      <c r="BD92" s="589"/>
      <c r="BE92" s="589"/>
      <c r="BF92" s="590"/>
      <c r="BG92" s="588">
        <f>594.67*10</f>
        <v>5946.7</v>
      </c>
      <c r="BH92" s="589"/>
      <c r="BI92" s="589"/>
      <c r="BJ92" s="589"/>
      <c r="BK92" s="589"/>
      <c r="BL92" s="589"/>
      <c r="BM92" s="589"/>
      <c r="BN92" s="590"/>
      <c r="BO92" s="579">
        <f t="shared" si="9"/>
        <v>29726.983068493148</v>
      </c>
      <c r="BP92" s="580"/>
      <c r="BQ92" s="580"/>
      <c r="BR92" s="580"/>
      <c r="BS92" s="580"/>
      <c r="BT92" s="580"/>
      <c r="BU92" s="580"/>
      <c r="BV92" s="581"/>
      <c r="BW92" s="411"/>
      <c r="BX92" s="412"/>
      <c r="BY92" s="412"/>
      <c r="BZ92" s="412"/>
      <c r="CA92" s="412"/>
      <c r="CB92" s="412"/>
      <c r="CC92" s="412"/>
      <c r="CD92" s="413"/>
      <c r="CE92" s="411"/>
      <c r="CF92" s="412"/>
      <c r="CG92" s="412"/>
      <c r="CH92" s="412"/>
      <c r="CI92" s="412"/>
      <c r="CJ92" s="412"/>
      <c r="CK92" s="412"/>
      <c r="CL92" s="412"/>
      <c r="CM92" s="413"/>
      <c r="CN92" s="582"/>
      <c r="CO92" s="582"/>
      <c r="CP92" s="582"/>
      <c r="CQ92" s="582"/>
      <c r="CR92" s="582"/>
      <c r="CS92" s="582"/>
      <c r="CT92" s="582"/>
      <c r="CU92" s="582"/>
      <c r="CV92" s="583">
        <f t="shared" si="10"/>
        <v>252680.65946849313</v>
      </c>
      <c r="CW92" s="583"/>
      <c r="CX92" s="583"/>
      <c r="CY92" s="583"/>
      <c r="CZ92" s="583"/>
      <c r="DA92" s="583"/>
      <c r="DB92" s="583"/>
      <c r="DC92" s="583"/>
      <c r="DD92" s="583"/>
      <c r="DE92" s="584"/>
    </row>
    <row r="93" spans="1:109" s="2" customFormat="1" ht="23.25" customHeight="1">
      <c r="A93" s="619" t="s">
        <v>1231</v>
      </c>
      <c r="B93" s="620"/>
      <c r="C93" s="620"/>
      <c r="D93" s="620"/>
      <c r="E93" s="620"/>
      <c r="F93" s="620"/>
      <c r="G93" s="620"/>
      <c r="H93" s="620"/>
      <c r="I93" s="620"/>
      <c r="J93" s="620"/>
      <c r="K93" s="620"/>
      <c r="L93" s="620"/>
      <c r="M93" s="620"/>
      <c r="N93" s="620"/>
      <c r="O93" s="621"/>
      <c r="P93" s="622" t="s">
        <v>1232</v>
      </c>
      <c r="Q93" s="620"/>
      <c r="R93" s="620"/>
      <c r="S93" s="620"/>
      <c r="T93" s="620"/>
      <c r="U93" s="620"/>
      <c r="V93" s="620"/>
      <c r="W93" s="620"/>
      <c r="X93" s="620"/>
      <c r="Y93" s="620"/>
      <c r="Z93" s="620"/>
      <c r="AA93" s="620"/>
      <c r="AB93" s="620"/>
      <c r="AC93" s="621"/>
      <c r="AD93" s="414"/>
      <c r="AE93" s="415"/>
      <c r="AF93" s="416"/>
      <c r="AG93" s="613">
        <v>1</v>
      </c>
      <c r="AH93" s="614"/>
      <c r="AI93" s="614"/>
      <c r="AJ93" s="615"/>
      <c r="AK93" s="585">
        <f>594.67*30.41</f>
        <v>18083.914699999998</v>
      </c>
      <c r="AL93" s="586"/>
      <c r="AM93" s="586"/>
      <c r="AN93" s="586"/>
      <c r="AO93" s="586"/>
      <c r="AP93" s="587"/>
      <c r="AQ93" s="583">
        <f t="shared" si="11"/>
        <v>217006.97639999999</v>
      </c>
      <c r="AR93" s="583"/>
      <c r="AS93" s="583"/>
      <c r="AT93" s="583"/>
      <c r="AU93" s="583"/>
      <c r="AV93" s="583"/>
      <c r="AW93" s="583"/>
      <c r="AX93" s="583"/>
      <c r="AY93" s="609"/>
      <c r="AZ93" s="610"/>
      <c r="BA93" s="610"/>
      <c r="BB93" s="610"/>
      <c r="BC93" s="610"/>
      <c r="BD93" s="610"/>
      <c r="BE93" s="610"/>
      <c r="BF93" s="611"/>
      <c r="BG93" s="588">
        <f t="shared" ref="BG93" si="13">594.67*10</f>
        <v>5946.7</v>
      </c>
      <c r="BH93" s="589"/>
      <c r="BI93" s="589"/>
      <c r="BJ93" s="589"/>
      <c r="BK93" s="589"/>
      <c r="BL93" s="589"/>
      <c r="BM93" s="589"/>
      <c r="BN93" s="590"/>
      <c r="BO93" s="579">
        <f t="shared" si="9"/>
        <v>29726.983068493148</v>
      </c>
      <c r="BP93" s="580"/>
      <c r="BQ93" s="580"/>
      <c r="BR93" s="580"/>
      <c r="BS93" s="580"/>
      <c r="BT93" s="580"/>
      <c r="BU93" s="580"/>
      <c r="BV93" s="581"/>
      <c r="BW93" s="417"/>
      <c r="BX93" s="418"/>
      <c r="BY93" s="418"/>
      <c r="BZ93" s="418"/>
      <c r="CA93" s="418"/>
      <c r="CB93" s="418"/>
      <c r="CC93" s="418"/>
      <c r="CD93" s="419"/>
      <c r="CE93" s="417"/>
      <c r="CF93" s="418"/>
      <c r="CG93" s="418"/>
      <c r="CH93" s="418"/>
      <c r="CI93" s="418"/>
      <c r="CJ93" s="418"/>
      <c r="CK93" s="418"/>
      <c r="CL93" s="418"/>
      <c r="CM93" s="419"/>
      <c r="CN93" s="582"/>
      <c r="CO93" s="582"/>
      <c r="CP93" s="582"/>
      <c r="CQ93" s="582"/>
      <c r="CR93" s="582"/>
      <c r="CS93" s="582"/>
      <c r="CT93" s="582"/>
      <c r="CU93" s="582"/>
      <c r="CV93" s="583">
        <f t="shared" si="10"/>
        <v>252680.65946849313</v>
      </c>
      <c r="CW93" s="583"/>
      <c r="CX93" s="583"/>
      <c r="CY93" s="583"/>
      <c r="CZ93" s="583"/>
      <c r="DA93" s="583"/>
      <c r="DB93" s="583"/>
      <c r="DC93" s="583"/>
      <c r="DD93" s="583"/>
      <c r="DE93" s="584"/>
    </row>
    <row r="94" spans="1:109" s="2" customFormat="1" ht="23.25" customHeight="1">
      <c r="A94" s="619" t="s">
        <v>1233</v>
      </c>
      <c r="B94" s="620"/>
      <c r="C94" s="620"/>
      <c r="D94" s="620"/>
      <c r="E94" s="620"/>
      <c r="F94" s="620"/>
      <c r="G94" s="620"/>
      <c r="H94" s="620"/>
      <c r="I94" s="620"/>
      <c r="J94" s="620"/>
      <c r="K94" s="620"/>
      <c r="L94" s="620"/>
      <c r="M94" s="620"/>
      <c r="N94" s="620"/>
      <c r="O94" s="621"/>
      <c r="P94" s="622" t="s">
        <v>1232</v>
      </c>
      <c r="Q94" s="620"/>
      <c r="R94" s="620"/>
      <c r="S94" s="620"/>
      <c r="T94" s="620"/>
      <c r="U94" s="620"/>
      <c r="V94" s="620"/>
      <c r="W94" s="620"/>
      <c r="X94" s="620"/>
      <c r="Y94" s="620"/>
      <c r="Z94" s="620"/>
      <c r="AA94" s="620"/>
      <c r="AB94" s="620"/>
      <c r="AC94" s="621"/>
      <c r="AD94" s="414"/>
      <c r="AE94" s="415"/>
      <c r="AF94" s="416"/>
      <c r="AG94" s="613">
        <v>1</v>
      </c>
      <c r="AH94" s="614"/>
      <c r="AI94" s="614"/>
      <c r="AJ94" s="615"/>
      <c r="AK94" s="585">
        <f>393.95*30.41</f>
        <v>11980.0195</v>
      </c>
      <c r="AL94" s="586"/>
      <c r="AM94" s="586"/>
      <c r="AN94" s="586"/>
      <c r="AO94" s="586"/>
      <c r="AP94" s="587"/>
      <c r="AQ94" s="583">
        <f t="shared" si="11"/>
        <v>143760.234</v>
      </c>
      <c r="AR94" s="583"/>
      <c r="AS94" s="583"/>
      <c r="AT94" s="583"/>
      <c r="AU94" s="583"/>
      <c r="AV94" s="583"/>
      <c r="AW94" s="583"/>
      <c r="AX94" s="583"/>
      <c r="AY94" s="609"/>
      <c r="AZ94" s="610"/>
      <c r="BA94" s="610"/>
      <c r="BB94" s="610"/>
      <c r="BC94" s="610"/>
      <c r="BD94" s="610"/>
      <c r="BE94" s="610"/>
      <c r="BF94" s="611"/>
      <c r="BG94" s="588">
        <f>393.95*10</f>
        <v>3939.5</v>
      </c>
      <c r="BH94" s="589"/>
      <c r="BI94" s="589"/>
      <c r="BJ94" s="589"/>
      <c r="BK94" s="589"/>
      <c r="BL94" s="589"/>
      <c r="BM94" s="589"/>
      <c r="BN94" s="590"/>
      <c r="BO94" s="579">
        <f t="shared" si="9"/>
        <v>19693.182739726028</v>
      </c>
      <c r="BP94" s="580"/>
      <c r="BQ94" s="580"/>
      <c r="BR94" s="580"/>
      <c r="BS94" s="580"/>
      <c r="BT94" s="580"/>
      <c r="BU94" s="580"/>
      <c r="BV94" s="581"/>
      <c r="BW94" s="417"/>
      <c r="BX94" s="418"/>
      <c r="BY94" s="418"/>
      <c r="BZ94" s="418"/>
      <c r="CA94" s="418"/>
      <c r="CB94" s="418"/>
      <c r="CC94" s="418"/>
      <c r="CD94" s="419"/>
      <c r="CE94" s="417"/>
      <c r="CF94" s="418"/>
      <c r="CG94" s="418"/>
      <c r="CH94" s="418"/>
      <c r="CI94" s="418"/>
      <c r="CJ94" s="418"/>
      <c r="CK94" s="418"/>
      <c r="CL94" s="418"/>
      <c r="CM94" s="419"/>
      <c r="CN94" s="582">
        <f t="shared" si="12"/>
        <v>9600</v>
      </c>
      <c r="CO94" s="582"/>
      <c r="CP94" s="582"/>
      <c r="CQ94" s="582"/>
      <c r="CR94" s="582"/>
      <c r="CS94" s="582"/>
      <c r="CT94" s="582"/>
      <c r="CU94" s="582"/>
      <c r="CV94" s="583">
        <f t="shared" si="10"/>
        <v>176992.91673972603</v>
      </c>
      <c r="CW94" s="583"/>
      <c r="CX94" s="583"/>
      <c r="CY94" s="583"/>
      <c r="CZ94" s="583"/>
      <c r="DA94" s="583"/>
      <c r="DB94" s="583"/>
      <c r="DC94" s="583"/>
      <c r="DD94" s="583"/>
      <c r="DE94" s="584"/>
    </row>
    <row r="95" spans="1:109" s="2" customFormat="1" ht="23.25" customHeight="1">
      <c r="A95" s="619" t="s">
        <v>1143</v>
      </c>
      <c r="B95" s="620"/>
      <c r="C95" s="620"/>
      <c r="D95" s="620"/>
      <c r="E95" s="620"/>
      <c r="F95" s="620"/>
      <c r="G95" s="620"/>
      <c r="H95" s="620"/>
      <c r="I95" s="620"/>
      <c r="J95" s="620"/>
      <c r="K95" s="620"/>
      <c r="L95" s="620"/>
      <c r="M95" s="620"/>
      <c r="N95" s="620"/>
      <c r="O95" s="621"/>
      <c r="P95" s="622" t="s">
        <v>1232</v>
      </c>
      <c r="Q95" s="620"/>
      <c r="R95" s="620"/>
      <c r="S95" s="620"/>
      <c r="T95" s="620"/>
      <c r="U95" s="620"/>
      <c r="V95" s="620"/>
      <c r="W95" s="620"/>
      <c r="X95" s="620"/>
      <c r="Y95" s="620"/>
      <c r="Z95" s="620"/>
      <c r="AA95" s="620"/>
      <c r="AB95" s="620"/>
      <c r="AC95" s="621"/>
      <c r="AD95" s="414"/>
      <c r="AE95" s="415"/>
      <c r="AF95" s="416"/>
      <c r="AG95" s="613">
        <v>1</v>
      </c>
      <c r="AH95" s="614"/>
      <c r="AI95" s="614"/>
      <c r="AJ95" s="615"/>
      <c r="AK95" s="585">
        <f>250.29*30.41</f>
        <v>7611.3189000000002</v>
      </c>
      <c r="AL95" s="586"/>
      <c r="AM95" s="586"/>
      <c r="AN95" s="586"/>
      <c r="AO95" s="586"/>
      <c r="AP95" s="587"/>
      <c r="AQ95" s="583">
        <f t="shared" si="11"/>
        <v>91335.82680000001</v>
      </c>
      <c r="AR95" s="583"/>
      <c r="AS95" s="583"/>
      <c r="AT95" s="583"/>
      <c r="AU95" s="583"/>
      <c r="AV95" s="583"/>
      <c r="AW95" s="583"/>
      <c r="AX95" s="583"/>
      <c r="AY95" s="609"/>
      <c r="AZ95" s="610"/>
      <c r="BA95" s="610"/>
      <c r="BB95" s="610"/>
      <c r="BC95" s="610"/>
      <c r="BD95" s="610"/>
      <c r="BE95" s="610"/>
      <c r="BF95" s="611"/>
      <c r="BG95" s="588">
        <f>250.29*10</f>
        <v>2502.9</v>
      </c>
      <c r="BH95" s="589"/>
      <c r="BI95" s="589"/>
      <c r="BJ95" s="589"/>
      <c r="BK95" s="589"/>
      <c r="BL95" s="589"/>
      <c r="BM95" s="589"/>
      <c r="BN95" s="590"/>
      <c r="BO95" s="579">
        <f t="shared" si="9"/>
        <v>12511.757095890413</v>
      </c>
      <c r="BP95" s="580"/>
      <c r="BQ95" s="580"/>
      <c r="BR95" s="580"/>
      <c r="BS95" s="580"/>
      <c r="BT95" s="580"/>
      <c r="BU95" s="580"/>
      <c r="BV95" s="581"/>
      <c r="BW95" s="417"/>
      <c r="BX95" s="418"/>
      <c r="BY95" s="418"/>
      <c r="BZ95" s="418"/>
      <c r="CA95" s="418"/>
      <c r="CB95" s="418"/>
      <c r="CC95" s="418"/>
      <c r="CD95" s="419"/>
      <c r="CE95" s="417"/>
      <c r="CF95" s="418"/>
      <c r="CG95" s="418"/>
      <c r="CH95" s="418"/>
      <c r="CI95" s="418"/>
      <c r="CJ95" s="418"/>
      <c r="CK95" s="418"/>
      <c r="CL95" s="418"/>
      <c r="CM95" s="419"/>
      <c r="CN95" s="582">
        <f t="shared" si="12"/>
        <v>9600</v>
      </c>
      <c r="CO95" s="582"/>
      <c r="CP95" s="582"/>
      <c r="CQ95" s="582"/>
      <c r="CR95" s="582"/>
      <c r="CS95" s="582"/>
      <c r="CT95" s="582"/>
      <c r="CU95" s="582"/>
      <c r="CV95" s="583">
        <f t="shared" si="10"/>
        <v>115950.48389589041</v>
      </c>
      <c r="CW95" s="583"/>
      <c r="CX95" s="583"/>
      <c r="CY95" s="583"/>
      <c r="CZ95" s="583"/>
      <c r="DA95" s="583"/>
      <c r="DB95" s="583"/>
      <c r="DC95" s="583"/>
      <c r="DD95" s="583"/>
      <c r="DE95" s="584"/>
    </row>
    <row r="96" spans="1:109" s="2" customFormat="1" ht="23.25" customHeight="1">
      <c r="A96" s="619" t="s">
        <v>1234</v>
      </c>
      <c r="B96" s="620"/>
      <c r="C96" s="620"/>
      <c r="D96" s="620"/>
      <c r="E96" s="620"/>
      <c r="F96" s="620"/>
      <c r="G96" s="620"/>
      <c r="H96" s="620"/>
      <c r="I96" s="620"/>
      <c r="J96" s="620"/>
      <c r="K96" s="620"/>
      <c r="L96" s="620"/>
      <c r="M96" s="620"/>
      <c r="N96" s="620"/>
      <c r="O96" s="621"/>
      <c r="P96" s="622" t="s">
        <v>1232</v>
      </c>
      <c r="Q96" s="620"/>
      <c r="R96" s="620"/>
      <c r="S96" s="620"/>
      <c r="T96" s="620"/>
      <c r="U96" s="620"/>
      <c r="V96" s="620"/>
      <c r="W96" s="620"/>
      <c r="X96" s="620"/>
      <c r="Y96" s="620"/>
      <c r="Z96" s="620"/>
      <c r="AA96" s="620"/>
      <c r="AB96" s="620"/>
      <c r="AC96" s="621"/>
      <c r="AD96" s="414"/>
      <c r="AE96" s="415"/>
      <c r="AF96" s="416"/>
      <c r="AG96" s="613">
        <v>5</v>
      </c>
      <c r="AH96" s="614"/>
      <c r="AI96" s="614"/>
      <c r="AJ96" s="615"/>
      <c r="AK96" s="585">
        <f>241*30.41</f>
        <v>7328.81</v>
      </c>
      <c r="AL96" s="586"/>
      <c r="AM96" s="586"/>
      <c r="AN96" s="586"/>
      <c r="AO96" s="586"/>
      <c r="AP96" s="587"/>
      <c r="AQ96" s="583">
        <f t="shared" si="11"/>
        <v>439728.60000000003</v>
      </c>
      <c r="AR96" s="583"/>
      <c r="AS96" s="583"/>
      <c r="AT96" s="583"/>
      <c r="AU96" s="583"/>
      <c r="AV96" s="583"/>
      <c r="AW96" s="583"/>
      <c r="AX96" s="583"/>
      <c r="AY96" s="609"/>
      <c r="AZ96" s="610"/>
      <c r="BA96" s="610"/>
      <c r="BB96" s="610"/>
      <c r="BC96" s="610"/>
      <c r="BD96" s="610"/>
      <c r="BE96" s="610"/>
      <c r="BF96" s="611"/>
      <c r="BG96" s="588">
        <f>241*10</f>
        <v>2410</v>
      </c>
      <c r="BH96" s="589"/>
      <c r="BI96" s="589"/>
      <c r="BJ96" s="589"/>
      <c r="BK96" s="589"/>
      <c r="BL96" s="589"/>
      <c r="BM96" s="589"/>
      <c r="BN96" s="590"/>
      <c r="BO96" s="579">
        <f t="shared" si="9"/>
        <v>60236.794520547948</v>
      </c>
      <c r="BP96" s="580"/>
      <c r="BQ96" s="580"/>
      <c r="BR96" s="580"/>
      <c r="BS96" s="580"/>
      <c r="BT96" s="580"/>
      <c r="BU96" s="580"/>
      <c r="BV96" s="581"/>
      <c r="BW96" s="417"/>
      <c r="BX96" s="418"/>
      <c r="BY96" s="418"/>
      <c r="BZ96" s="418"/>
      <c r="CA96" s="418"/>
      <c r="CB96" s="418"/>
      <c r="CC96" s="418"/>
      <c r="CD96" s="419"/>
      <c r="CE96" s="417"/>
      <c r="CF96" s="418"/>
      <c r="CG96" s="418"/>
      <c r="CH96" s="418"/>
      <c r="CI96" s="418"/>
      <c r="CJ96" s="418"/>
      <c r="CK96" s="418"/>
      <c r="CL96" s="418"/>
      <c r="CM96" s="419"/>
      <c r="CN96" s="582">
        <f t="shared" si="12"/>
        <v>9600</v>
      </c>
      <c r="CO96" s="582"/>
      <c r="CP96" s="582"/>
      <c r="CQ96" s="582"/>
      <c r="CR96" s="582"/>
      <c r="CS96" s="582"/>
      <c r="CT96" s="582"/>
      <c r="CU96" s="582"/>
      <c r="CV96" s="583">
        <f t="shared" si="10"/>
        <v>511975.394520548</v>
      </c>
      <c r="CW96" s="583"/>
      <c r="CX96" s="583"/>
      <c r="CY96" s="583"/>
      <c r="CZ96" s="583"/>
      <c r="DA96" s="583"/>
      <c r="DB96" s="583"/>
      <c r="DC96" s="583"/>
      <c r="DD96" s="583"/>
      <c r="DE96" s="584"/>
    </row>
    <row r="97" spans="1:109" s="2" customFormat="1" ht="23.25" customHeight="1">
      <c r="A97" s="619" t="s">
        <v>1159</v>
      </c>
      <c r="B97" s="620"/>
      <c r="C97" s="620"/>
      <c r="D97" s="620"/>
      <c r="E97" s="620"/>
      <c r="F97" s="620"/>
      <c r="G97" s="620"/>
      <c r="H97" s="620"/>
      <c r="I97" s="620"/>
      <c r="J97" s="620"/>
      <c r="K97" s="620"/>
      <c r="L97" s="620"/>
      <c r="M97" s="620"/>
      <c r="N97" s="620"/>
      <c r="O97" s="621"/>
      <c r="P97" s="622" t="s">
        <v>1232</v>
      </c>
      <c r="Q97" s="620"/>
      <c r="R97" s="620"/>
      <c r="S97" s="620"/>
      <c r="T97" s="620"/>
      <c r="U97" s="620"/>
      <c r="V97" s="620"/>
      <c r="W97" s="620"/>
      <c r="X97" s="620"/>
      <c r="Y97" s="620"/>
      <c r="Z97" s="620"/>
      <c r="AA97" s="620"/>
      <c r="AB97" s="620"/>
      <c r="AC97" s="621"/>
      <c r="AD97" s="414"/>
      <c r="AE97" s="415"/>
      <c r="AF97" s="416"/>
      <c r="AG97" s="613">
        <v>1</v>
      </c>
      <c r="AH97" s="614"/>
      <c r="AI97" s="614"/>
      <c r="AJ97" s="615"/>
      <c r="AK97" s="585">
        <f>241*30.41</f>
        <v>7328.81</v>
      </c>
      <c r="AL97" s="586"/>
      <c r="AM97" s="586"/>
      <c r="AN97" s="586"/>
      <c r="AO97" s="586"/>
      <c r="AP97" s="587"/>
      <c r="AQ97" s="583">
        <f t="shared" si="11"/>
        <v>87945.72</v>
      </c>
      <c r="AR97" s="583"/>
      <c r="AS97" s="583"/>
      <c r="AT97" s="583"/>
      <c r="AU97" s="583"/>
      <c r="AV97" s="583"/>
      <c r="AW97" s="583"/>
      <c r="AX97" s="583"/>
      <c r="AY97" s="411"/>
      <c r="AZ97" s="412"/>
      <c r="BA97" s="412"/>
      <c r="BB97" s="412"/>
      <c r="BC97" s="412"/>
      <c r="BD97" s="412"/>
      <c r="BE97" s="412"/>
      <c r="BF97" s="413"/>
      <c r="BG97" s="588">
        <f>241*10</f>
        <v>2410</v>
      </c>
      <c r="BH97" s="589"/>
      <c r="BI97" s="589"/>
      <c r="BJ97" s="589"/>
      <c r="BK97" s="589"/>
      <c r="BL97" s="589"/>
      <c r="BM97" s="589"/>
      <c r="BN97" s="590"/>
      <c r="BO97" s="579">
        <f t="shared" si="9"/>
        <v>12047.358904109589</v>
      </c>
      <c r="BP97" s="580"/>
      <c r="BQ97" s="580"/>
      <c r="BR97" s="580"/>
      <c r="BS97" s="580"/>
      <c r="BT97" s="580"/>
      <c r="BU97" s="580"/>
      <c r="BV97" s="581"/>
      <c r="BW97" s="417"/>
      <c r="BX97" s="418"/>
      <c r="BY97" s="418"/>
      <c r="BZ97" s="418"/>
      <c r="CA97" s="418"/>
      <c r="CB97" s="418"/>
      <c r="CC97" s="418"/>
      <c r="CD97" s="419"/>
      <c r="CE97" s="417"/>
      <c r="CF97" s="418"/>
      <c r="CG97" s="418"/>
      <c r="CH97" s="418"/>
      <c r="CI97" s="418"/>
      <c r="CJ97" s="418"/>
      <c r="CK97" s="418"/>
      <c r="CL97" s="418"/>
      <c r="CM97" s="419"/>
      <c r="CN97" s="582">
        <f t="shared" si="12"/>
        <v>9600</v>
      </c>
      <c r="CO97" s="582"/>
      <c r="CP97" s="582"/>
      <c r="CQ97" s="582"/>
      <c r="CR97" s="582"/>
      <c r="CS97" s="582"/>
      <c r="CT97" s="582"/>
      <c r="CU97" s="582"/>
      <c r="CV97" s="583">
        <f t="shared" si="10"/>
        <v>112003.07890410958</v>
      </c>
      <c r="CW97" s="583"/>
      <c r="CX97" s="583"/>
      <c r="CY97" s="583"/>
      <c r="CZ97" s="583"/>
      <c r="DA97" s="583"/>
      <c r="DB97" s="583"/>
      <c r="DC97" s="583"/>
      <c r="DD97" s="583"/>
      <c r="DE97" s="584"/>
    </row>
    <row r="98" spans="1:109" s="2" customFormat="1" ht="23.25" customHeight="1">
      <c r="A98" s="619" t="s">
        <v>1159</v>
      </c>
      <c r="B98" s="620"/>
      <c r="C98" s="620"/>
      <c r="D98" s="620"/>
      <c r="E98" s="620"/>
      <c r="F98" s="620"/>
      <c r="G98" s="620"/>
      <c r="H98" s="620"/>
      <c r="I98" s="620"/>
      <c r="J98" s="620"/>
      <c r="K98" s="620"/>
      <c r="L98" s="620"/>
      <c r="M98" s="620"/>
      <c r="N98" s="620"/>
      <c r="O98" s="621"/>
      <c r="P98" s="622" t="s">
        <v>1232</v>
      </c>
      <c r="Q98" s="620"/>
      <c r="R98" s="620"/>
      <c r="S98" s="620"/>
      <c r="T98" s="620"/>
      <c r="U98" s="620"/>
      <c r="V98" s="620"/>
      <c r="W98" s="620"/>
      <c r="X98" s="620"/>
      <c r="Y98" s="620"/>
      <c r="Z98" s="620"/>
      <c r="AA98" s="620"/>
      <c r="AB98" s="620"/>
      <c r="AC98" s="621"/>
      <c r="AD98" s="414"/>
      <c r="AE98" s="415"/>
      <c r="AF98" s="416"/>
      <c r="AG98" s="613">
        <v>1</v>
      </c>
      <c r="AH98" s="614"/>
      <c r="AI98" s="614"/>
      <c r="AJ98" s="615"/>
      <c r="AK98" s="585">
        <f>241*30.41</f>
        <v>7328.81</v>
      </c>
      <c r="AL98" s="586"/>
      <c r="AM98" s="586"/>
      <c r="AN98" s="586"/>
      <c r="AO98" s="586"/>
      <c r="AP98" s="587"/>
      <c r="AQ98" s="583">
        <f t="shared" si="11"/>
        <v>87945.72</v>
      </c>
      <c r="AR98" s="583"/>
      <c r="AS98" s="583"/>
      <c r="AT98" s="583"/>
      <c r="AU98" s="583"/>
      <c r="AV98" s="583"/>
      <c r="AW98" s="583"/>
      <c r="AX98" s="583"/>
      <c r="AY98" s="411"/>
      <c r="AZ98" s="412"/>
      <c r="BA98" s="412"/>
      <c r="BB98" s="412"/>
      <c r="BC98" s="412"/>
      <c r="BD98" s="412"/>
      <c r="BE98" s="412"/>
      <c r="BF98" s="413"/>
      <c r="BG98" s="588">
        <f>241*10</f>
        <v>2410</v>
      </c>
      <c r="BH98" s="589"/>
      <c r="BI98" s="589"/>
      <c r="BJ98" s="589"/>
      <c r="BK98" s="589"/>
      <c r="BL98" s="589"/>
      <c r="BM98" s="589"/>
      <c r="BN98" s="590"/>
      <c r="BO98" s="579">
        <f t="shared" si="9"/>
        <v>12047.358904109589</v>
      </c>
      <c r="BP98" s="580"/>
      <c r="BQ98" s="580"/>
      <c r="BR98" s="580"/>
      <c r="BS98" s="580"/>
      <c r="BT98" s="580"/>
      <c r="BU98" s="580"/>
      <c r="BV98" s="581"/>
      <c r="BW98" s="417"/>
      <c r="BX98" s="418"/>
      <c r="BY98" s="418"/>
      <c r="BZ98" s="418"/>
      <c r="CA98" s="418"/>
      <c r="CB98" s="418"/>
      <c r="CC98" s="418"/>
      <c r="CD98" s="419"/>
      <c r="CE98" s="417"/>
      <c r="CF98" s="418"/>
      <c r="CG98" s="418"/>
      <c r="CH98" s="418"/>
      <c r="CI98" s="418"/>
      <c r="CJ98" s="418"/>
      <c r="CK98" s="418"/>
      <c r="CL98" s="418"/>
      <c r="CM98" s="419"/>
      <c r="CN98" s="582">
        <f t="shared" si="12"/>
        <v>9600</v>
      </c>
      <c r="CO98" s="582"/>
      <c r="CP98" s="582"/>
      <c r="CQ98" s="582"/>
      <c r="CR98" s="582"/>
      <c r="CS98" s="582"/>
      <c r="CT98" s="582"/>
      <c r="CU98" s="582"/>
      <c r="CV98" s="583">
        <f t="shared" si="10"/>
        <v>112003.07890410958</v>
      </c>
      <c r="CW98" s="583"/>
      <c r="CX98" s="583"/>
      <c r="CY98" s="583"/>
      <c r="CZ98" s="583"/>
      <c r="DA98" s="583"/>
      <c r="DB98" s="583"/>
      <c r="DC98" s="583"/>
      <c r="DD98" s="583"/>
      <c r="DE98" s="584"/>
    </row>
    <row r="99" spans="1:109" s="2" customFormat="1" ht="23.25" customHeight="1">
      <c r="A99" s="619" t="s">
        <v>1235</v>
      </c>
      <c r="B99" s="620"/>
      <c r="C99" s="620"/>
      <c r="D99" s="620"/>
      <c r="E99" s="620"/>
      <c r="F99" s="620"/>
      <c r="G99" s="620"/>
      <c r="H99" s="620"/>
      <c r="I99" s="620"/>
      <c r="J99" s="620"/>
      <c r="K99" s="620"/>
      <c r="L99" s="620"/>
      <c r="M99" s="620"/>
      <c r="N99" s="620"/>
      <c r="O99" s="621"/>
      <c r="P99" s="622" t="s">
        <v>1232</v>
      </c>
      <c r="Q99" s="620"/>
      <c r="R99" s="620"/>
      <c r="S99" s="620"/>
      <c r="T99" s="620"/>
      <c r="U99" s="620"/>
      <c r="V99" s="620"/>
      <c r="W99" s="620"/>
      <c r="X99" s="620"/>
      <c r="Y99" s="620"/>
      <c r="Z99" s="620"/>
      <c r="AA99" s="620"/>
      <c r="AB99" s="620"/>
      <c r="AC99" s="621"/>
      <c r="AD99" s="414"/>
      <c r="AE99" s="415"/>
      <c r="AF99" s="416"/>
      <c r="AG99" s="613">
        <v>1</v>
      </c>
      <c r="AH99" s="614"/>
      <c r="AI99" s="614"/>
      <c r="AJ99" s="615"/>
      <c r="AK99" s="585">
        <f>203.32*30.41</f>
        <v>6182.9611999999997</v>
      </c>
      <c r="AL99" s="586"/>
      <c r="AM99" s="586"/>
      <c r="AN99" s="586"/>
      <c r="AO99" s="586"/>
      <c r="AP99" s="587"/>
      <c r="AQ99" s="583">
        <f t="shared" si="11"/>
        <v>74195.534400000004</v>
      </c>
      <c r="AR99" s="583"/>
      <c r="AS99" s="583"/>
      <c r="AT99" s="583"/>
      <c r="AU99" s="583"/>
      <c r="AV99" s="583"/>
      <c r="AW99" s="583"/>
      <c r="AX99" s="583"/>
      <c r="AY99" s="411"/>
      <c r="AZ99" s="412"/>
      <c r="BA99" s="412"/>
      <c r="BB99" s="412"/>
      <c r="BC99" s="412"/>
      <c r="BD99" s="412"/>
      <c r="BE99" s="412"/>
      <c r="BF99" s="413"/>
      <c r="BG99" s="588">
        <f>203.32*10</f>
        <v>2033.1999999999998</v>
      </c>
      <c r="BH99" s="589"/>
      <c r="BI99" s="589"/>
      <c r="BJ99" s="589"/>
      <c r="BK99" s="589"/>
      <c r="BL99" s="589"/>
      <c r="BM99" s="589"/>
      <c r="BN99" s="590"/>
      <c r="BO99" s="579">
        <f t="shared" si="9"/>
        <v>10163.771835616439</v>
      </c>
      <c r="BP99" s="580"/>
      <c r="BQ99" s="580"/>
      <c r="BR99" s="580"/>
      <c r="BS99" s="580"/>
      <c r="BT99" s="580"/>
      <c r="BU99" s="580"/>
      <c r="BV99" s="581"/>
      <c r="BW99" s="417"/>
      <c r="BX99" s="418"/>
      <c r="BY99" s="418"/>
      <c r="BZ99" s="418"/>
      <c r="CA99" s="418"/>
      <c r="CB99" s="418"/>
      <c r="CC99" s="418"/>
      <c r="CD99" s="419"/>
      <c r="CE99" s="417"/>
      <c r="CF99" s="418"/>
      <c r="CG99" s="418"/>
      <c r="CH99" s="418"/>
      <c r="CI99" s="418"/>
      <c r="CJ99" s="418"/>
      <c r="CK99" s="418"/>
      <c r="CL99" s="418"/>
      <c r="CM99" s="419"/>
      <c r="CN99" s="582">
        <f t="shared" si="12"/>
        <v>9600</v>
      </c>
      <c r="CO99" s="582"/>
      <c r="CP99" s="582"/>
      <c r="CQ99" s="582"/>
      <c r="CR99" s="582"/>
      <c r="CS99" s="582"/>
      <c r="CT99" s="582"/>
      <c r="CU99" s="582"/>
      <c r="CV99" s="583">
        <f t="shared" si="10"/>
        <v>95992.506235616442</v>
      </c>
      <c r="CW99" s="583"/>
      <c r="CX99" s="583"/>
      <c r="CY99" s="583"/>
      <c r="CZ99" s="583"/>
      <c r="DA99" s="583"/>
      <c r="DB99" s="583"/>
      <c r="DC99" s="583"/>
      <c r="DD99" s="583"/>
      <c r="DE99" s="584"/>
    </row>
    <row r="100" spans="1:109" s="2" customFormat="1" ht="23.25" customHeight="1">
      <c r="A100" s="619" t="s">
        <v>1236</v>
      </c>
      <c r="B100" s="620"/>
      <c r="C100" s="620"/>
      <c r="D100" s="620"/>
      <c r="E100" s="620"/>
      <c r="F100" s="620"/>
      <c r="G100" s="620"/>
      <c r="H100" s="620"/>
      <c r="I100" s="620"/>
      <c r="J100" s="620"/>
      <c r="K100" s="620"/>
      <c r="L100" s="620"/>
      <c r="M100" s="620"/>
      <c r="N100" s="620"/>
      <c r="O100" s="621"/>
      <c r="P100" s="622" t="s">
        <v>1232</v>
      </c>
      <c r="Q100" s="620"/>
      <c r="R100" s="620"/>
      <c r="S100" s="620"/>
      <c r="T100" s="620"/>
      <c r="U100" s="620"/>
      <c r="V100" s="620"/>
      <c r="W100" s="620"/>
      <c r="X100" s="620"/>
      <c r="Y100" s="620"/>
      <c r="Z100" s="620"/>
      <c r="AA100" s="620"/>
      <c r="AB100" s="620"/>
      <c r="AC100" s="621"/>
      <c r="AD100" s="414"/>
      <c r="AE100" s="415"/>
      <c r="AF100" s="416"/>
      <c r="AG100" s="613">
        <v>1</v>
      </c>
      <c r="AH100" s="614"/>
      <c r="AI100" s="614"/>
      <c r="AJ100" s="615"/>
      <c r="AK100" s="585">
        <f>247.5*30.41</f>
        <v>7526.4750000000004</v>
      </c>
      <c r="AL100" s="586"/>
      <c r="AM100" s="586"/>
      <c r="AN100" s="586"/>
      <c r="AO100" s="586"/>
      <c r="AP100" s="587"/>
      <c r="AQ100" s="583">
        <f t="shared" si="11"/>
        <v>90317.700000000012</v>
      </c>
      <c r="AR100" s="583"/>
      <c r="AS100" s="583"/>
      <c r="AT100" s="583"/>
      <c r="AU100" s="583"/>
      <c r="AV100" s="583"/>
      <c r="AW100" s="583"/>
      <c r="AX100" s="583"/>
      <c r="AY100" s="411"/>
      <c r="AZ100" s="412"/>
      <c r="BA100" s="412"/>
      <c r="BB100" s="412"/>
      <c r="BC100" s="412"/>
      <c r="BD100" s="412"/>
      <c r="BE100" s="412"/>
      <c r="BF100" s="413"/>
      <c r="BG100" s="588">
        <f>247.5*10</f>
        <v>2475</v>
      </c>
      <c r="BH100" s="589"/>
      <c r="BI100" s="589"/>
      <c r="BJ100" s="589"/>
      <c r="BK100" s="589"/>
      <c r="BL100" s="589"/>
      <c r="BM100" s="589"/>
      <c r="BN100" s="590"/>
      <c r="BO100" s="579">
        <f t="shared" si="9"/>
        <v>12372.287671232878</v>
      </c>
      <c r="BP100" s="580"/>
      <c r="BQ100" s="580"/>
      <c r="BR100" s="580"/>
      <c r="BS100" s="580"/>
      <c r="BT100" s="580"/>
      <c r="BU100" s="580"/>
      <c r="BV100" s="581"/>
      <c r="BW100" s="417"/>
      <c r="BX100" s="418"/>
      <c r="BY100" s="418"/>
      <c r="BZ100" s="418"/>
      <c r="CA100" s="418"/>
      <c r="CB100" s="418"/>
      <c r="CC100" s="418"/>
      <c r="CD100" s="419"/>
      <c r="CE100" s="417"/>
      <c r="CF100" s="418"/>
      <c r="CG100" s="418"/>
      <c r="CH100" s="418"/>
      <c r="CI100" s="418"/>
      <c r="CJ100" s="418"/>
      <c r="CK100" s="418"/>
      <c r="CL100" s="418"/>
      <c r="CM100" s="419"/>
      <c r="CN100" s="582">
        <f t="shared" si="12"/>
        <v>9600</v>
      </c>
      <c r="CO100" s="582"/>
      <c r="CP100" s="582"/>
      <c r="CQ100" s="582"/>
      <c r="CR100" s="582"/>
      <c r="CS100" s="582"/>
      <c r="CT100" s="582"/>
      <c r="CU100" s="582"/>
      <c r="CV100" s="583">
        <f t="shared" si="10"/>
        <v>114764.98767123288</v>
      </c>
      <c r="CW100" s="583"/>
      <c r="CX100" s="583"/>
      <c r="CY100" s="583"/>
      <c r="CZ100" s="583"/>
      <c r="DA100" s="583"/>
      <c r="DB100" s="583"/>
      <c r="DC100" s="583"/>
      <c r="DD100" s="583"/>
      <c r="DE100" s="584"/>
    </row>
    <row r="101" spans="1:109" s="2" customFormat="1" ht="23.25" customHeight="1">
      <c r="A101" s="619" t="s">
        <v>1237</v>
      </c>
      <c r="B101" s="620"/>
      <c r="C101" s="620"/>
      <c r="D101" s="620"/>
      <c r="E101" s="620"/>
      <c r="F101" s="620"/>
      <c r="G101" s="620"/>
      <c r="H101" s="620"/>
      <c r="I101" s="620"/>
      <c r="J101" s="620"/>
      <c r="K101" s="620"/>
      <c r="L101" s="620"/>
      <c r="M101" s="620"/>
      <c r="N101" s="620"/>
      <c r="O101" s="621"/>
      <c r="P101" s="622" t="s">
        <v>1232</v>
      </c>
      <c r="Q101" s="620"/>
      <c r="R101" s="620"/>
      <c r="S101" s="620"/>
      <c r="T101" s="620"/>
      <c r="U101" s="620"/>
      <c r="V101" s="620"/>
      <c r="W101" s="620"/>
      <c r="X101" s="620"/>
      <c r="Y101" s="620"/>
      <c r="Z101" s="620"/>
      <c r="AA101" s="620"/>
      <c r="AB101" s="620"/>
      <c r="AC101" s="621"/>
      <c r="AD101" s="414"/>
      <c r="AE101" s="415"/>
      <c r="AF101" s="416"/>
      <c r="AG101" s="613">
        <v>2</v>
      </c>
      <c r="AH101" s="614"/>
      <c r="AI101" s="614"/>
      <c r="AJ101" s="615"/>
      <c r="AK101" s="585">
        <f>247.5*30.41</f>
        <v>7526.4750000000004</v>
      </c>
      <c r="AL101" s="586"/>
      <c r="AM101" s="586"/>
      <c r="AN101" s="586"/>
      <c r="AO101" s="586"/>
      <c r="AP101" s="587"/>
      <c r="AQ101" s="583">
        <f t="shared" si="11"/>
        <v>180635.40000000002</v>
      </c>
      <c r="AR101" s="583"/>
      <c r="AS101" s="583"/>
      <c r="AT101" s="583"/>
      <c r="AU101" s="583"/>
      <c r="AV101" s="583"/>
      <c r="AW101" s="583"/>
      <c r="AX101" s="583"/>
      <c r="AY101" s="411"/>
      <c r="AZ101" s="412"/>
      <c r="BA101" s="412"/>
      <c r="BB101" s="412"/>
      <c r="BC101" s="412"/>
      <c r="BD101" s="412"/>
      <c r="BE101" s="412"/>
      <c r="BF101" s="413"/>
      <c r="BG101" s="588">
        <f>247.5*10</f>
        <v>2475</v>
      </c>
      <c r="BH101" s="589"/>
      <c r="BI101" s="589"/>
      <c r="BJ101" s="589"/>
      <c r="BK101" s="589"/>
      <c r="BL101" s="589"/>
      <c r="BM101" s="589"/>
      <c r="BN101" s="590"/>
      <c r="BO101" s="579">
        <f t="shared" si="9"/>
        <v>24744.575342465756</v>
      </c>
      <c r="BP101" s="580"/>
      <c r="BQ101" s="580"/>
      <c r="BR101" s="580"/>
      <c r="BS101" s="580"/>
      <c r="BT101" s="580"/>
      <c r="BU101" s="580"/>
      <c r="BV101" s="581"/>
      <c r="BW101" s="417"/>
      <c r="BX101" s="418"/>
      <c r="BY101" s="418"/>
      <c r="BZ101" s="418"/>
      <c r="CA101" s="418"/>
      <c r="CB101" s="418"/>
      <c r="CC101" s="418"/>
      <c r="CD101" s="419"/>
      <c r="CE101" s="417"/>
      <c r="CF101" s="418"/>
      <c r="CG101" s="418"/>
      <c r="CH101" s="418"/>
      <c r="CI101" s="418"/>
      <c r="CJ101" s="418"/>
      <c r="CK101" s="418"/>
      <c r="CL101" s="418"/>
      <c r="CM101" s="419"/>
      <c r="CN101" s="582">
        <f t="shared" si="12"/>
        <v>9600</v>
      </c>
      <c r="CO101" s="582"/>
      <c r="CP101" s="582"/>
      <c r="CQ101" s="582"/>
      <c r="CR101" s="582"/>
      <c r="CS101" s="582"/>
      <c r="CT101" s="582"/>
      <c r="CU101" s="582"/>
      <c r="CV101" s="583">
        <f t="shared" si="10"/>
        <v>217454.97534246577</v>
      </c>
      <c r="CW101" s="583"/>
      <c r="CX101" s="583"/>
      <c r="CY101" s="583"/>
      <c r="CZ101" s="583"/>
      <c r="DA101" s="583"/>
      <c r="DB101" s="583"/>
      <c r="DC101" s="583"/>
      <c r="DD101" s="583"/>
      <c r="DE101" s="584"/>
    </row>
    <row r="102" spans="1:109" s="2" customFormat="1" ht="23.25" customHeight="1">
      <c r="A102" s="619" t="s">
        <v>1238</v>
      </c>
      <c r="B102" s="620"/>
      <c r="C102" s="620"/>
      <c r="D102" s="620"/>
      <c r="E102" s="620"/>
      <c r="F102" s="620"/>
      <c r="G102" s="620"/>
      <c r="H102" s="620"/>
      <c r="I102" s="620"/>
      <c r="J102" s="620"/>
      <c r="K102" s="620"/>
      <c r="L102" s="620"/>
      <c r="M102" s="620"/>
      <c r="N102" s="620"/>
      <c r="O102" s="621"/>
      <c r="P102" s="622" t="s">
        <v>1232</v>
      </c>
      <c r="Q102" s="620"/>
      <c r="R102" s="620"/>
      <c r="S102" s="620"/>
      <c r="T102" s="620"/>
      <c r="U102" s="620"/>
      <c r="V102" s="620"/>
      <c r="W102" s="620"/>
      <c r="X102" s="620"/>
      <c r="Y102" s="620"/>
      <c r="Z102" s="620"/>
      <c r="AA102" s="620"/>
      <c r="AB102" s="620"/>
      <c r="AC102" s="621"/>
      <c r="AD102" s="414"/>
      <c r="AE102" s="415"/>
      <c r="AF102" s="416"/>
      <c r="AG102" s="613">
        <v>1</v>
      </c>
      <c r="AH102" s="614"/>
      <c r="AI102" s="614"/>
      <c r="AJ102" s="615"/>
      <c r="AK102" s="585">
        <f>247.5*30.41</f>
        <v>7526.4750000000004</v>
      </c>
      <c r="AL102" s="586"/>
      <c r="AM102" s="586"/>
      <c r="AN102" s="586"/>
      <c r="AO102" s="586"/>
      <c r="AP102" s="587"/>
      <c r="AQ102" s="583">
        <f t="shared" si="11"/>
        <v>90317.700000000012</v>
      </c>
      <c r="AR102" s="583"/>
      <c r="AS102" s="583"/>
      <c r="AT102" s="583"/>
      <c r="AU102" s="583"/>
      <c r="AV102" s="583"/>
      <c r="AW102" s="583"/>
      <c r="AX102" s="583"/>
      <c r="AY102" s="411"/>
      <c r="AZ102" s="412"/>
      <c r="BA102" s="412"/>
      <c r="BB102" s="412"/>
      <c r="BC102" s="412"/>
      <c r="BD102" s="412"/>
      <c r="BE102" s="412"/>
      <c r="BF102" s="413"/>
      <c r="BG102" s="588">
        <f>247.5*10</f>
        <v>2475</v>
      </c>
      <c r="BH102" s="589"/>
      <c r="BI102" s="589"/>
      <c r="BJ102" s="589"/>
      <c r="BK102" s="589"/>
      <c r="BL102" s="589"/>
      <c r="BM102" s="589"/>
      <c r="BN102" s="590"/>
      <c r="BO102" s="579">
        <f t="shared" si="9"/>
        <v>12372.287671232878</v>
      </c>
      <c r="BP102" s="580"/>
      <c r="BQ102" s="580"/>
      <c r="BR102" s="580"/>
      <c r="BS102" s="580"/>
      <c r="BT102" s="580"/>
      <c r="BU102" s="580"/>
      <c r="BV102" s="581"/>
      <c r="BW102" s="417"/>
      <c r="BX102" s="418"/>
      <c r="BY102" s="418"/>
      <c r="BZ102" s="418"/>
      <c r="CA102" s="418"/>
      <c r="CB102" s="418"/>
      <c r="CC102" s="418"/>
      <c r="CD102" s="419"/>
      <c r="CE102" s="417"/>
      <c r="CF102" s="418"/>
      <c r="CG102" s="418"/>
      <c r="CH102" s="418"/>
      <c r="CI102" s="418"/>
      <c r="CJ102" s="418"/>
      <c r="CK102" s="418"/>
      <c r="CL102" s="418"/>
      <c r="CM102" s="419"/>
      <c r="CN102" s="582">
        <f t="shared" si="12"/>
        <v>9600</v>
      </c>
      <c r="CO102" s="582"/>
      <c r="CP102" s="582"/>
      <c r="CQ102" s="582"/>
      <c r="CR102" s="582"/>
      <c r="CS102" s="582"/>
      <c r="CT102" s="582"/>
      <c r="CU102" s="582"/>
      <c r="CV102" s="583">
        <f t="shared" si="10"/>
        <v>114764.98767123288</v>
      </c>
      <c r="CW102" s="583"/>
      <c r="CX102" s="583"/>
      <c r="CY102" s="583"/>
      <c r="CZ102" s="583"/>
      <c r="DA102" s="583"/>
      <c r="DB102" s="583"/>
      <c r="DC102" s="583"/>
      <c r="DD102" s="583"/>
      <c r="DE102" s="584"/>
    </row>
    <row r="103" spans="1:109" s="2" customFormat="1" ht="23.25" customHeight="1">
      <c r="A103" s="619" t="s">
        <v>1239</v>
      </c>
      <c r="B103" s="620"/>
      <c r="C103" s="620"/>
      <c r="D103" s="620"/>
      <c r="E103" s="620"/>
      <c r="F103" s="620"/>
      <c r="G103" s="620"/>
      <c r="H103" s="620"/>
      <c r="I103" s="620"/>
      <c r="J103" s="620"/>
      <c r="K103" s="620"/>
      <c r="L103" s="620"/>
      <c r="M103" s="620"/>
      <c r="N103" s="620"/>
      <c r="O103" s="621"/>
      <c r="P103" s="622" t="s">
        <v>1232</v>
      </c>
      <c r="Q103" s="620"/>
      <c r="R103" s="620"/>
      <c r="S103" s="620"/>
      <c r="T103" s="620"/>
      <c r="U103" s="620"/>
      <c r="V103" s="620"/>
      <c r="W103" s="620"/>
      <c r="X103" s="620"/>
      <c r="Y103" s="620"/>
      <c r="Z103" s="620"/>
      <c r="AA103" s="620"/>
      <c r="AB103" s="620"/>
      <c r="AC103" s="621"/>
      <c r="AD103" s="414"/>
      <c r="AE103" s="415"/>
      <c r="AF103" s="416"/>
      <c r="AG103" s="613">
        <v>1</v>
      </c>
      <c r="AH103" s="614"/>
      <c r="AI103" s="614"/>
      <c r="AJ103" s="615"/>
      <c r="AK103" s="585">
        <f>251.24*30.41</f>
        <v>7640.2084000000004</v>
      </c>
      <c r="AL103" s="586"/>
      <c r="AM103" s="586"/>
      <c r="AN103" s="586"/>
      <c r="AO103" s="586"/>
      <c r="AP103" s="587"/>
      <c r="AQ103" s="583">
        <f t="shared" si="11"/>
        <v>91682.500800000009</v>
      </c>
      <c r="AR103" s="583"/>
      <c r="AS103" s="583"/>
      <c r="AT103" s="583"/>
      <c r="AU103" s="583"/>
      <c r="AV103" s="583"/>
      <c r="AW103" s="583"/>
      <c r="AX103" s="583"/>
      <c r="AY103" s="411"/>
      <c r="AZ103" s="412"/>
      <c r="BA103" s="412"/>
      <c r="BB103" s="412"/>
      <c r="BC103" s="412"/>
      <c r="BD103" s="412"/>
      <c r="BE103" s="412"/>
      <c r="BF103" s="413"/>
      <c r="BG103" s="588">
        <f>251.24*10</f>
        <v>2512.4</v>
      </c>
      <c r="BH103" s="589"/>
      <c r="BI103" s="589"/>
      <c r="BJ103" s="589"/>
      <c r="BK103" s="589"/>
      <c r="BL103" s="589"/>
      <c r="BM103" s="589"/>
      <c r="BN103" s="590"/>
      <c r="BO103" s="579">
        <f t="shared" si="9"/>
        <v>12559.24668493151</v>
      </c>
      <c r="BP103" s="580"/>
      <c r="BQ103" s="580"/>
      <c r="BR103" s="580"/>
      <c r="BS103" s="580"/>
      <c r="BT103" s="580"/>
      <c r="BU103" s="580"/>
      <c r="BV103" s="581"/>
      <c r="BW103" s="417"/>
      <c r="BX103" s="418"/>
      <c r="BY103" s="418"/>
      <c r="BZ103" s="418"/>
      <c r="CA103" s="418"/>
      <c r="CB103" s="418"/>
      <c r="CC103" s="418"/>
      <c r="CD103" s="419"/>
      <c r="CE103" s="417"/>
      <c r="CF103" s="418"/>
      <c r="CG103" s="418"/>
      <c r="CH103" s="418"/>
      <c r="CI103" s="418"/>
      <c r="CJ103" s="418"/>
      <c r="CK103" s="418"/>
      <c r="CL103" s="418"/>
      <c r="CM103" s="419"/>
      <c r="CN103" s="582">
        <f t="shared" si="12"/>
        <v>9600</v>
      </c>
      <c r="CO103" s="582"/>
      <c r="CP103" s="582"/>
      <c r="CQ103" s="582"/>
      <c r="CR103" s="582"/>
      <c r="CS103" s="582"/>
      <c r="CT103" s="582"/>
      <c r="CU103" s="582"/>
      <c r="CV103" s="583">
        <f t="shared" si="10"/>
        <v>116354.14748493151</v>
      </c>
      <c r="CW103" s="583"/>
      <c r="CX103" s="583"/>
      <c r="CY103" s="583"/>
      <c r="CZ103" s="583"/>
      <c r="DA103" s="583"/>
      <c r="DB103" s="583"/>
      <c r="DC103" s="583"/>
      <c r="DD103" s="583"/>
      <c r="DE103" s="584"/>
    </row>
    <row r="104" spans="1:109" s="2" customFormat="1" ht="23.25" customHeight="1">
      <c r="A104" s="619" t="s">
        <v>1240</v>
      </c>
      <c r="B104" s="620"/>
      <c r="C104" s="620"/>
      <c r="D104" s="620"/>
      <c r="E104" s="620"/>
      <c r="F104" s="620"/>
      <c r="G104" s="620"/>
      <c r="H104" s="620"/>
      <c r="I104" s="620"/>
      <c r="J104" s="620"/>
      <c r="K104" s="620"/>
      <c r="L104" s="620"/>
      <c r="M104" s="620"/>
      <c r="N104" s="620"/>
      <c r="O104" s="621"/>
      <c r="P104" s="622" t="s">
        <v>1232</v>
      </c>
      <c r="Q104" s="620"/>
      <c r="R104" s="620"/>
      <c r="S104" s="620"/>
      <c r="T104" s="620"/>
      <c r="U104" s="620"/>
      <c r="V104" s="620"/>
      <c r="W104" s="620"/>
      <c r="X104" s="620"/>
      <c r="Y104" s="620"/>
      <c r="Z104" s="620"/>
      <c r="AA104" s="620"/>
      <c r="AB104" s="620"/>
      <c r="AC104" s="621"/>
      <c r="AD104" s="414"/>
      <c r="AE104" s="415"/>
      <c r="AF104" s="416"/>
      <c r="AG104" s="613">
        <v>3</v>
      </c>
      <c r="AH104" s="614"/>
      <c r="AI104" s="614"/>
      <c r="AJ104" s="615"/>
      <c r="AK104" s="585">
        <f>251.24*30.41</f>
        <v>7640.2084000000004</v>
      </c>
      <c r="AL104" s="586"/>
      <c r="AM104" s="586"/>
      <c r="AN104" s="586"/>
      <c r="AO104" s="586"/>
      <c r="AP104" s="587"/>
      <c r="AQ104" s="583">
        <f t="shared" si="11"/>
        <v>275047.5024</v>
      </c>
      <c r="AR104" s="583"/>
      <c r="AS104" s="583"/>
      <c r="AT104" s="583"/>
      <c r="AU104" s="583"/>
      <c r="AV104" s="583"/>
      <c r="AW104" s="583"/>
      <c r="AX104" s="583"/>
      <c r="AY104" s="411"/>
      <c r="AZ104" s="412"/>
      <c r="BA104" s="412"/>
      <c r="BB104" s="412"/>
      <c r="BC104" s="412"/>
      <c r="BD104" s="412"/>
      <c r="BE104" s="412"/>
      <c r="BF104" s="413"/>
      <c r="BG104" s="588">
        <f>251.24*10</f>
        <v>2512.4</v>
      </c>
      <c r="BH104" s="589"/>
      <c r="BI104" s="589"/>
      <c r="BJ104" s="589"/>
      <c r="BK104" s="589"/>
      <c r="BL104" s="589"/>
      <c r="BM104" s="589"/>
      <c r="BN104" s="590"/>
      <c r="BO104" s="579">
        <f t="shared" si="9"/>
        <v>37677.740054794522</v>
      </c>
      <c r="BP104" s="580"/>
      <c r="BQ104" s="580"/>
      <c r="BR104" s="580"/>
      <c r="BS104" s="580"/>
      <c r="BT104" s="580"/>
      <c r="BU104" s="580"/>
      <c r="BV104" s="581"/>
      <c r="BW104" s="417"/>
      <c r="BX104" s="418"/>
      <c r="BY104" s="418"/>
      <c r="BZ104" s="418"/>
      <c r="CA104" s="418"/>
      <c r="CB104" s="418"/>
      <c r="CC104" s="418"/>
      <c r="CD104" s="419"/>
      <c r="CE104" s="417"/>
      <c r="CF104" s="418"/>
      <c r="CG104" s="418"/>
      <c r="CH104" s="418"/>
      <c r="CI104" s="418"/>
      <c r="CJ104" s="418"/>
      <c r="CK104" s="418"/>
      <c r="CL104" s="418"/>
      <c r="CM104" s="419"/>
      <c r="CN104" s="582">
        <f t="shared" si="12"/>
        <v>9600</v>
      </c>
      <c r="CO104" s="582"/>
      <c r="CP104" s="582"/>
      <c r="CQ104" s="582"/>
      <c r="CR104" s="582"/>
      <c r="CS104" s="582"/>
      <c r="CT104" s="582"/>
      <c r="CU104" s="582"/>
      <c r="CV104" s="583">
        <f t="shared" si="10"/>
        <v>324837.64245479455</v>
      </c>
      <c r="CW104" s="583"/>
      <c r="CX104" s="583"/>
      <c r="CY104" s="583"/>
      <c r="CZ104" s="583"/>
      <c r="DA104" s="583"/>
      <c r="DB104" s="583"/>
      <c r="DC104" s="583"/>
      <c r="DD104" s="583"/>
      <c r="DE104" s="584"/>
    </row>
    <row r="105" spans="1:109" s="2" customFormat="1" ht="23.25" customHeight="1">
      <c r="A105" s="612" t="s">
        <v>1241</v>
      </c>
      <c r="B105" s="601"/>
      <c r="C105" s="601"/>
      <c r="D105" s="601"/>
      <c r="E105" s="601"/>
      <c r="F105" s="601"/>
      <c r="G105" s="601"/>
      <c r="H105" s="601"/>
      <c r="I105" s="601"/>
      <c r="J105" s="601"/>
      <c r="K105" s="601"/>
      <c r="L105" s="601"/>
      <c r="M105" s="601"/>
      <c r="N105" s="601"/>
      <c r="O105" s="602"/>
      <c r="P105" s="622" t="s">
        <v>1232</v>
      </c>
      <c r="Q105" s="620"/>
      <c r="R105" s="620"/>
      <c r="S105" s="620"/>
      <c r="T105" s="620"/>
      <c r="U105" s="620"/>
      <c r="V105" s="620"/>
      <c r="W105" s="620"/>
      <c r="X105" s="620"/>
      <c r="Y105" s="620"/>
      <c r="Z105" s="620"/>
      <c r="AA105" s="620"/>
      <c r="AB105" s="620"/>
      <c r="AC105" s="621"/>
      <c r="AD105" s="414"/>
      <c r="AE105" s="415"/>
      <c r="AF105" s="416"/>
      <c r="AG105" s="613">
        <v>2</v>
      </c>
      <c r="AH105" s="614"/>
      <c r="AI105" s="614"/>
      <c r="AJ105" s="615"/>
      <c r="AK105" s="585">
        <f>203.32*30.41</f>
        <v>6182.9611999999997</v>
      </c>
      <c r="AL105" s="586"/>
      <c r="AM105" s="586"/>
      <c r="AN105" s="586"/>
      <c r="AO105" s="586"/>
      <c r="AP105" s="587"/>
      <c r="AQ105" s="583">
        <f t="shared" si="11"/>
        <v>148391.06880000001</v>
      </c>
      <c r="AR105" s="583"/>
      <c r="AS105" s="583"/>
      <c r="AT105" s="583"/>
      <c r="AU105" s="583"/>
      <c r="AV105" s="583"/>
      <c r="AW105" s="583"/>
      <c r="AX105" s="583"/>
      <c r="AY105" s="411"/>
      <c r="AZ105" s="412"/>
      <c r="BA105" s="412"/>
      <c r="BB105" s="412"/>
      <c r="BC105" s="412"/>
      <c r="BD105" s="412"/>
      <c r="BE105" s="412"/>
      <c r="BF105" s="413"/>
      <c r="BG105" s="588">
        <f>203.32*10</f>
        <v>2033.1999999999998</v>
      </c>
      <c r="BH105" s="589"/>
      <c r="BI105" s="589"/>
      <c r="BJ105" s="589"/>
      <c r="BK105" s="589"/>
      <c r="BL105" s="589"/>
      <c r="BM105" s="589"/>
      <c r="BN105" s="590"/>
      <c r="BO105" s="579">
        <f t="shared" si="9"/>
        <v>20327.543671232877</v>
      </c>
      <c r="BP105" s="580"/>
      <c r="BQ105" s="580"/>
      <c r="BR105" s="580"/>
      <c r="BS105" s="580"/>
      <c r="BT105" s="580"/>
      <c r="BU105" s="580"/>
      <c r="BV105" s="581"/>
      <c r="BW105" s="417"/>
      <c r="BX105" s="418"/>
      <c r="BY105" s="418"/>
      <c r="BZ105" s="418"/>
      <c r="CA105" s="418"/>
      <c r="CB105" s="418"/>
      <c r="CC105" s="418"/>
      <c r="CD105" s="419"/>
      <c r="CE105" s="417"/>
      <c r="CF105" s="418"/>
      <c r="CG105" s="418"/>
      <c r="CH105" s="418"/>
      <c r="CI105" s="418"/>
      <c r="CJ105" s="418"/>
      <c r="CK105" s="418"/>
      <c r="CL105" s="418"/>
      <c r="CM105" s="419"/>
      <c r="CN105" s="582">
        <f t="shared" si="12"/>
        <v>9600</v>
      </c>
      <c r="CO105" s="582"/>
      <c r="CP105" s="582"/>
      <c r="CQ105" s="582"/>
      <c r="CR105" s="582"/>
      <c r="CS105" s="582"/>
      <c r="CT105" s="582"/>
      <c r="CU105" s="582"/>
      <c r="CV105" s="583">
        <f t="shared" si="10"/>
        <v>180351.8124712329</v>
      </c>
      <c r="CW105" s="583"/>
      <c r="CX105" s="583"/>
      <c r="CY105" s="583"/>
      <c r="CZ105" s="583"/>
      <c r="DA105" s="583"/>
      <c r="DB105" s="583"/>
      <c r="DC105" s="583"/>
      <c r="DD105" s="583"/>
      <c r="DE105" s="584"/>
    </row>
    <row r="106" spans="1:109" s="2" customFormat="1" ht="23.25" customHeight="1">
      <c r="A106" s="612" t="s">
        <v>1182</v>
      </c>
      <c r="B106" s="601"/>
      <c r="C106" s="601"/>
      <c r="D106" s="601"/>
      <c r="E106" s="601"/>
      <c r="F106" s="601"/>
      <c r="G106" s="601"/>
      <c r="H106" s="601"/>
      <c r="I106" s="601"/>
      <c r="J106" s="601"/>
      <c r="K106" s="601"/>
      <c r="L106" s="601"/>
      <c r="M106" s="601"/>
      <c r="N106" s="601"/>
      <c r="O106" s="602"/>
      <c r="P106" s="622" t="s">
        <v>1232</v>
      </c>
      <c r="Q106" s="620"/>
      <c r="R106" s="620"/>
      <c r="S106" s="620"/>
      <c r="T106" s="620"/>
      <c r="U106" s="620"/>
      <c r="V106" s="620"/>
      <c r="W106" s="620"/>
      <c r="X106" s="620"/>
      <c r="Y106" s="620"/>
      <c r="Z106" s="620"/>
      <c r="AA106" s="620"/>
      <c r="AB106" s="620"/>
      <c r="AC106" s="621"/>
      <c r="AD106" s="414"/>
      <c r="AE106" s="415"/>
      <c r="AF106" s="416"/>
      <c r="AG106" s="613">
        <v>1</v>
      </c>
      <c r="AH106" s="614"/>
      <c r="AI106" s="614"/>
      <c r="AJ106" s="615"/>
      <c r="AK106" s="585">
        <f>203.32*30.41</f>
        <v>6182.9611999999997</v>
      </c>
      <c r="AL106" s="586"/>
      <c r="AM106" s="586"/>
      <c r="AN106" s="586"/>
      <c r="AO106" s="586"/>
      <c r="AP106" s="587"/>
      <c r="AQ106" s="583">
        <f t="shared" si="11"/>
        <v>74195.534400000004</v>
      </c>
      <c r="AR106" s="583"/>
      <c r="AS106" s="583"/>
      <c r="AT106" s="583"/>
      <c r="AU106" s="583"/>
      <c r="AV106" s="583"/>
      <c r="AW106" s="583"/>
      <c r="AX106" s="583"/>
      <c r="AY106" s="411"/>
      <c r="AZ106" s="412"/>
      <c r="BA106" s="412"/>
      <c r="BB106" s="412"/>
      <c r="BC106" s="412"/>
      <c r="BD106" s="412"/>
      <c r="BE106" s="412"/>
      <c r="BF106" s="413"/>
      <c r="BG106" s="588">
        <f>203.32*10</f>
        <v>2033.1999999999998</v>
      </c>
      <c r="BH106" s="589"/>
      <c r="BI106" s="589"/>
      <c r="BJ106" s="589"/>
      <c r="BK106" s="589"/>
      <c r="BL106" s="589"/>
      <c r="BM106" s="589"/>
      <c r="BN106" s="590"/>
      <c r="BO106" s="579">
        <f t="shared" si="9"/>
        <v>10163.771835616439</v>
      </c>
      <c r="BP106" s="580"/>
      <c r="BQ106" s="580"/>
      <c r="BR106" s="580"/>
      <c r="BS106" s="580"/>
      <c r="BT106" s="580"/>
      <c r="BU106" s="580"/>
      <c r="BV106" s="581"/>
      <c r="BW106" s="417"/>
      <c r="BX106" s="418"/>
      <c r="BY106" s="418"/>
      <c r="BZ106" s="418"/>
      <c r="CA106" s="418"/>
      <c r="CB106" s="418"/>
      <c r="CC106" s="418"/>
      <c r="CD106" s="419"/>
      <c r="CE106" s="417"/>
      <c r="CF106" s="418"/>
      <c r="CG106" s="418"/>
      <c r="CH106" s="418"/>
      <c r="CI106" s="418"/>
      <c r="CJ106" s="418"/>
      <c r="CK106" s="418"/>
      <c r="CL106" s="418"/>
      <c r="CM106" s="419"/>
      <c r="CN106" s="582">
        <f t="shared" si="12"/>
        <v>9600</v>
      </c>
      <c r="CO106" s="582"/>
      <c r="CP106" s="582"/>
      <c r="CQ106" s="582"/>
      <c r="CR106" s="582"/>
      <c r="CS106" s="582"/>
      <c r="CT106" s="582"/>
      <c r="CU106" s="582"/>
      <c r="CV106" s="583">
        <f t="shared" si="10"/>
        <v>95992.506235616442</v>
      </c>
      <c r="CW106" s="583"/>
      <c r="CX106" s="583"/>
      <c r="CY106" s="583"/>
      <c r="CZ106" s="583"/>
      <c r="DA106" s="583"/>
      <c r="DB106" s="583"/>
      <c r="DC106" s="583"/>
      <c r="DD106" s="583"/>
      <c r="DE106" s="584"/>
    </row>
    <row r="107" spans="1:109" s="2" customFormat="1" ht="23.25" customHeight="1">
      <c r="A107" s="612" t="s">
        <v>1242</v>
      </c>
      <c r="B107" s="601"/>
      <c r="C107" s="601"/>
      <c r="D107" s="601"/>
      <c r="E107" s="601"/>
      <c r="F107" s="601"/>
      <c r="G107" s="601"/>
      <c r="H107" s="601"/>
      <c r="I107" s="601"/>
      <c r="J107" s="601"/>
      <c r="K107" s="601"/>
      <c r="L107" s="601"/>
      <c r="M107" s="601"/>
      <c r="N107" s="601"/>
      <c r="O107" s="602"/>
      <c r="P107" s="622" t="s">
        <v>1232</v>
      </c>
      <c r="Q107" s="620"/>
      <c r="R107" s="620"/>
      <c r="S107" s="620"/>
      <c r="T107" s="620"/>
      <c r="U107" s="620"/>
      <c r="V107" s="620"/>
      <c r="W107" s="620"/>
      <c r="X107" s="620"/>
      <c r="Y107" s="620"/>
      <c r="Z107" s="620"/>
      <c r="AA107" s="620"/>
      <c r="AB107" s="620"/>
      <c r="AC107" s="621"/>
      <c r="AD107" s="414"/>
      <c r="AE107" s="415"/>
      <c r="AF107" s="416"/>
      <c r="AG107" s="613">
        <v>1</v>
      </c>
      <c r="AH107" s="614"/>
      <c r="AI107" s="614"/>
      <c r="AJ107" s="615"/>
      <c r="AK107" s="585">
        <f>203.32*30.41</f>
        <v>6182.9611999999997</v>
      </c>
      <c r="AL107" s="586"/>
      <c r="AM107" s="586"/>
      <c r="AN107" s="586"/>
      <c r="AO107" s="586"/>
      <c r="AP107" s="587"/>
      <c r="AQ107" s="583">
        <f t="shared" si="11"/>
        <v>74195.534400000004</v>
      </c>
      <c r="AR107" s="583"/>
      <c r="AS107" s="583"/>
      <c r="AT107" s="583"/>
      <c r="AU107" s="583"/>
      <c r="AV107" s="583"/>
      <c r="AW107" s="583"/>
      <c r="AX107" s="583"/>
      <c r="AY107" s="411"/>
      <c r="AZ107" s="412"/>
      <c r="BA107" s="412"/>
      <c r="BB107" s="412"/>
      <c r="BC107" s="412"/>
      <c r="BD107" s="412"/>
      <c r="BE107" s="412"/>
      <c r="BF107" s="413"/>
      <c r="BG107" s="588">
        <f>203.32*10</f>
        <v>2033.1999999999998</v>
      </c>
      <c r="BH107" s="589"/>
      <c r="BI107" s="589"/>
      <c r="BJ107" s="589"/>
      <c r="BK107" s="589"/>
      <c r="BL107" s="589"/>
      <c r="BM107" s="589"/>
      <c r="BN107" s="590"/>
      <c r="BO107" s="579">
        <f t="shared" si="9"/>
        <v>10163.771835616439</v>
      </c>
      <c r="BP107" s="580"/>
      <c r="BQ107" s="580"/>
      <c r="BR107" s="580"/>
      <c r="BS107" s="580"/>
      <c r="BT107" s="580"/>
      <c r="BU107" s="580"/>
      <c r="BV107" s="581"/>
      <c r="BW107" s="417"/>
      <c r="BX107" s="418"/>
      <c r="BY107" s="418"/>
      <c r="BZ107" s="418"/>
      <c r="CA107" s="418"/>
      <c r="CB107" s="418"/>
      <c r="CC107" s="418"/>
      <c r="CD107" s="419"/>
      <c r="CE107" s="417"/>
      <c r="CF107" s="418"/>
      <c r="CG107" s="418"/>
      <c r="CH107" s="418"/>
      <c r="CI107" s="418"/>
      <c r="CJ107" s="418"/>
      <c r="CK107" s="418"/>
      <c r="CL107" s="418"/>
      <c r="CM107" s="419"/>
      <c r="CN107" s="582">
        <f t="shared" si="12"/>
        <v>9600</v>
      </c>
      <c r="CO107" s="582"/>
      <c r="CP107" s="582"/>
      <c r="CQ107" s="582"/>
      <c r="CR107" s="582"/>
      <c r="CS107" s="582"/>
      <c r="CT107" s="582"/>
      <c r="CU107" s="582"/>
      <c r="CV107" s="583">
        <f t="shared" si="10"/>
        <v>95992.506235616442</v>
      </c>
      <c r="CW107" s="583"/>
      <c r="CX107" s="583"/>
      <c r="CY107" s="583"/>
      <c r="CZ107" s="583"/>
      <c r="DA107" s="583"/>
      <c r="DB107" s="583"/>
      <c r="DC107" s="583"/>
      <c r="DD107" s="583"/>
      <c r="DE107" s="584"/>
    </row>
    <row r="108" spans="1:109" s="2" customFormat="1" ht="23.25" customHeight="1">
      <c r="A108" s="612" t="s">
        <v>1243</v>
      </c>
      <c r="B108" s="601"/>
      <c r="C108" s="601"/>
      <c r="D108" s="601"/>
      <c r="E108" s="601"/>
      <c r="F108" s="601"/>
      <c r="G108" s="601"/>
      <c r="H108" s="601"/>
      <c r="I108" s="601"/>
      <c r="J108" s="601"/>
      <c r="K108" s="601"/>
      <c r="L108" s="601"/>
      <c r="M108" s="601"/>
      <c r="N108" s="601"/>
      <c r="O108" s="602"/>
      <c r="P108" s="622" t="s">
        <v>1232</v>
      </c>
      <c r="Q108" s="620"/>
      <c r="R108" s="620"/>
      <c r="S108" s="620"/>
      <c r="T108" s="620"/>
      <c r="U108" s="620"/>
      <c r="V108" s="620"/>
      <c r="W108" s="620"/>
      <c r="X108" s="620"/>
      <c r="Y108" s="620"/>
      <c r="Z108" s="620"/>
      <c r="AA108" s="620"/>
      <c r="AB108" s="620"/>
      <c r="AC108" s="621"/>
      <c r="AD108" s="414"/>
      <c r="AE108" s="415"/>
      <c r="AF108" s="416"/>
      <c r="AG108" s="613">
        <v>1</v>
      </c>
      <c r="AH108" s="614"/>
      <c r="AI108" s="614"/>
      <c r="AJ108" s="615"/>
      <c r="AK108" s="585">
        <f>203.32*30.41</f>
        <v>6182.9611999999997</v>
      </c>
      <c r="AL108" s="586"/>
      <c r="AM108" s="586"/>
      <c r="AN108" s="586"/>
      <c r="AO108" s="586"/>
      <c r="AP108" s="587"/>
      <c r="AQ108" s="583">
        <f t="shared" si="11"/>
        <v>74195.534400000004</v>
      </c>
      <c r="AR108" s="583"/>
      <c r="AS108" s="583"/>
      <c r="AT108" s="583"/>
      <c r="AU108" s="583"/>
      <c r="AV108" s="583"/>
      <c r="AW108" s="583"/>
      <c r="AX108" s="583"/>
      <c r="AY108" s="411"/>
      <c r="AZ108" s="412"/>
      <c r="BA108" s="412"/>
      <c r="BB108" s="412"/>
      <c r="BC108" s="412"/>
      <c r="BD108" s="412"/>
      <c r="BE108" s="412"/>
      <c r="BF108" s="413"/>
      <c r="BG108" s="588">
        <f>203.32*10</f>
        <v>2033.1999999999998</v>
      </c>
      <c r="BH108" s="589"/>
      <c r="BI108" s="589"/>
      <c r="BJ108" s="589"/>
      <c r="BK108" s="589"/>
      <c r="BL108" s="589"/>
      <c r="BM108" s="589"/>
      <c r="BN108" s="590"/>
      <c r="BO108" s="579">
        <f t="shared" si="9"/>
        <v>10163.771835616439</v>
      </c>
      <c r="BP108" s="580"/>
      <c r="BQ108" s="580"/>
      <c r="BR108" s="580"/>
      <c r="BS108" s="580"/>
      <c r="BT108" s="580"/>
      <c r="BU108" s="580"/>
      <c r="BV108" s="581"/>
      <c r="BW108" s="417"/>
      <c r="BX108" s="418"/>
      <c r="BY108" s="418"/>
      <c r="BZ108" s="418"/>
      <c r="CA108" s="418"/>
      <c r="CB108" s="418"/>
      <c r="CC108" s="418"/>
      <c r="CD108" s="419"/>
      <c r="CE108" s="417"/>
      <c r="CF108" s="418"/>
      <c r="CG108" s="418"/>
      <c r="CH108" s="418"/>
      <c r="CI108" s="418"/>
      <c r="CJ108" s="418"/>
      <c r="CK108" s="418"/>
      <c r="CL108" s="418"/>
      <c r="CM108" s="419"/>
      <c r="CN108" s="582">
        <f t="shared" si="12"/>
        <v>9600</v>
      </c>
      <c r="CO108" s="582"/>
      <c r="CP108" s="582"/>
      <c r="CQ108" s="582"/>
      <c r="CR108" s="582"/>
      <c r="CS108" s="582"/>
      <c r="CT108" s="582"/>
      <c r="CU108" s="582"/>
      <c r="CV108" s="583">
        <f t="shared" si="10"/>
        <v>95992.506235616442</v>
      </c>
      <c r="CW108" s="583"/>
      <c r="CX108" s="583"/>
      <c r="CY108" s="583"/>
      <c r="CZ108" s="583"/>
      <c r="DA108" s="583"/>
      <c r="DB108" s="583"/>
      <c r="DC108" s="583"/>
      <c r="DD108" s="583"/>
      <c r="DE108" s="584"/>
    </row>
    <row r="109" spans="1:109" s="2" customFormat="1" ht="23.25" customHeight="1">
      <c r="A109" s="612" t="s">
        <v>1244</v>
      </c>
      <c r="B109" s="601"/>
      <c r="C109" s="601"/>
      <c r="D109" s="601"/>
      <c r="E109" s="601"/>
      <c r="F109" s="601"/>
      <c r="G109" s="601"/>
      <c r="H109" s="601"/>
      <c r="I109" s="601"/>
      <c r="J109" s="601"/>
      <c r="K109" s="601"/>
      <c r="L109" s="601"/>
      <c r="M109" s="601"/>
      <c r="N109" s="601"/>
      <c r="O109" s="602"/>
      <c r="P109" s="622" t="s">
        <v>1232</v>
      </c>
      <c r="Q109" s="620"/>
      <c r="R109" s="620"/>
      <c r="S109" s="620"/>
      <c r="T109" s="620"/>
      <c r="U109" s="620"/>
      <c r="V109" s="620"/>
      <c r="W109" s="620"/>
      <c r="X109" s="620"/>
      <c r="Y109" s="620"/>
      <c r="Z109" s="620"/>
      <c r="AA109" s="620"/>
      <c r="AB109" s="620"/>
      <c r="AC109" s="621"/>
      <c r="AD109" s="414"/>
      <c r="AE109" s="415"/>
      <c r="AF109" s="416"/>
      <c r="AG109" s="613">
        <v>3</v>
      </c>
      <c r="AH109" s="614"/>
      <c r="AI109" s="614"/>
      <c r="AJ109" s="615"/>
      <c r="AK109" s="585">
        <f>203.32*30.41</f>
        <v>6182.9611999999997</v>
      </c>
      <c r="AL109" s="586"/>
      <c r="AM109" s="586"/>
      <c r="AN109" s="586"/>
      <c r="AO109" s="586"/>
      <c r="AP109" s="587"/>
      <c r="AQ109" s="583">
        <f t="shared" si="11"/>
        <v>222586.60320000001</v>
      </c>
      <c r="AR109" s="583"/>
      <c r="AS109" s="583"/>
      <c r="AT109" s="583"/>
      <c r="AU109" s="583"/>
      <c r="AV109" s="583"/>
      <c r="AW109" s="583"/>
      <c r="AX109" s="583"/>
      <c r="AY109" s="411"/>
      <c r="AZ109" s="412"/>
      <c r="BA109" s="412"/>
      <c r="BB109" s="412"/>
      <c r="BC109" s="412"/>
      <c r="BD109" s="412"/>
      <c r="BE109" s="412"/>
      <c r="BF109" s="413"/>
      <c r="BG109" s="588">
        <f>203.32*10</f>
        <v>2033.1999999999998</v>
      </c>
      <c r="BH109" s="589"/>
      <c r="BI109" s="589"/>
      <c r="BJ109" s="589"/>
      <c r="BK109" s="589"/>
      <c r="BL109" s="589"/>
      <c r="BM109" s="589"/>
      <c r="BN109" s="590"/>
      <c r="BO109" s="579">
        <f t="shared" si="9"/>
        <v>30491.315506849314</v>
      </c>
      <c r="BP109" s="580"/>
      <c r="BQ109" s="580"/>
      <c r="BR109" s="580"/>
      <c r="BS109" s="580"/>
      <c r="BT109" s="580"/>
      <c r="BU109" s="580"/>
      <c r="BV109" s="581"/>
      <c r="BW109" s="417"/>
      <c r="BX109" s="418"/>
      <c r="BY109" s="418"/>
      <c r="BZ109" s="418"/>
      <c r="CA109" s="418"/>
      <c r="CB109" s="418"/>
      <c r="CC109" s="418"/>
      <c r="CD109" s="419"/>
      <c r="CE109" s="417"/>
      <c r="CF109" s="418"/>
      <c r="CG109" s="418"/>
      <c r="CH109" s="418"/>
      <c r="CI109" s="418"/>
      <c r="CJ109" s="418"/>
      <c r="CK109" s="418"/>
      <c r="CL109" s="418"/>
      <c r="CM109" s="419"/>
      <c r="CN109" s="582">
        <f t="shared" si="12"/>
        <v>9600</v>
      </c>
      <c r="CO109" s="582"/>
      <c r="CP109" s="582"/>
      <c r="CQ109" s="582"/>
      <c r="CR109" s="582"/>
      <c r="CS109" s="582"/>
      <c r="CT109" s="582"/>
      <c r="CU109" s="582"/>
      <c r="CV109" s="583">
        <f t="shared" si="10"/>
        <v>264711.11870684935</v>
      </c>
      <c r="CW109" s="583"/>
      <c r="CX109" s="583"/>
      <c r="CY109" s="583"/>
      <c r="CZ109" s="583"/>
      <c r="DA109" s="583"/>
      <c r="DB109" s="583"/>
      <c r="DC109" s="583"/>
      <c r="DD109" s="583"/>
      <c r="DE109" s="584"/>
    </row>
    <row r="110" spans="1:109" s="2" customFormat="1" ht="23.25" customHeight="1">
      <c r="A110" s="612" t="s">
        <v>1228</v>
      </c>
      <c r="B110" s="601"/>
      <c r="C110" s="601"/>
      <c r="D110" s="601"/>
      <c r="E110" s="601"/>
      <c r="F110" s="601"/>
      <c r="G110" s="601"/>
      <c r="H110" s="601"/>
      <c r="I110" s="601"/>
      <c r="J110" s="601"/>
      <c r="K110" s="601"/>
      <c r="L110" s="601"/>
      <c r="M110" s="601"/>
      <c r="N110" s="601"/>
      <c r="O110" s="602"/>
      <c r="P110" s="622" t="s">
        <v>1245</v>
      </c>
      <c r="Q110" s="620"/>
      <c r="R110" s="620"/>
      <c r="S110" s="620"/>
      <c r="T110" s="620"/>
      <c r="U110" s="620"/>
      <c r="V110" s="620"/>
      <c r="W110" s="620"/>
      <c r="X110" s="620"/>
      <c r="Y110" s="620"/>
      <c r="Z110" s="620"/>
      <c r="AA110" s="620"/>
      <c r="AB110" s="620"/>
      <c r="AC110" s="621"/>
      <c r="AD110" s="414"/>
      <c r="AE110" s="415"/>
      <c r="AF110" s="416"/>
      <c r="AG110" s="613">
        <v>1</v>
      </c>
      <c r="AH110" s="614"/>
      <c r="AI110" s="614"/>
      <c r="AJ110" s="615"/>
      <c r="AK110" s="585">
        <f>296.54*30.41</f>
        <v>9017.7813999999998</v>
      </c>
      <c r="AL110" s="586"/>
      <c r="AM110" s="586"/>
      <c r="AN110" s="586"/>
      <c r="AO110" s="586"/>
      <c r="AP110" s="587"/>
      <c r="AQ110" s="583">
        <f t="shared" si="11"/>
        <v>108213.3768</v>
      </c>
      <c r="AR110" s="583"/>
      <c r="AS110" s="583"/>
      <c r="AT110" s="583"/>
      <c r="AU110" s="583"/>
      <c r="AV110" s="583"/>
      <c r="AW110" s="583"/>
      <c r="AX110" s="583"/>
      <c r="AY110" s="411"/>
      <c r="AZ110" s="412"/>
      <c r="BA110" s="412"/>
      <c r="BB110" s="412"/>
      <c r="BC110" s="412"/>
      <c r="BD110" s="412"/>
      <c r="BE110" s="412"/>
      <c r="BF110" s="413"/>
      <c r="BG110" s="588">
        <f>296.54*10</f>
        <v>2965.4</v>
      </c>
      <c r="BH110" s="589"/>
      <c r="BI110" s="589"/>
      <c r="BJ110" s="589"/>
      <c r="BK110" s="589"/>
      <c r="BL110" s="589"/>
      <c r="BM110" s="589"/>
      <c r="BN110" s="590"/>
      <c r="BO110" s="579">
        <f t="shared" si="9"/>
        <v>14823.75024657534</v>
      </c>
      <c r="BP110" s="580"/>
      <c r="BQ110" s="580"/>
      <c r="BR110" s="580"/>
      <c r="BS110" s="580"/>
      <c r="BT110" s="580"/>
      <c r="BU110" s="580"/>
      <c r="BV110" s="581"/>
      <c r="BW110" s="417"/>
      <c r="BX110" s="418"/>
      <c r="BY110" s="418"/>
      <c r="BZ110" s="418"/>
      <c r="CA110" s="418"/>
      <c r="CB110" s="418"/>
      <c r="CC110" s="418"/>
      <c r="CD110" s="419"/>
      <c r="CE110" s="417"/>
      <c r="CF110" s="418"/>
      <c r="CG110" s="418"/>
      <c r="CH110" s="418"/>
      <c r="CI110" s="418"/>
      <c r="CJ110" s="418"/>
      <c r="CK110" s="418"/>
      <c r="CL110" s="418"/>
      <c r="CM110" s="419"/>
      <c r="CN110" s="582">
        <f t="shared" si="12"/>
        <v>9600</v>
      </c>
      <c r="CO110" s="582"/>
      <c r="CP110" s="582"/>
      <c r="CQ110" s="582"/>
      <c r="CR110" s="582"/>
      <c r="CS110" s="582"/>
      <c r="CT110" s="582"/>
      <c r="CU110" s="582"/>
      <c r="CV110" s="583">
        <f t="shared" si="10"/>
        <v>135602.52704657533</v>
      </c>
      <c r="CW110" s="583"/>
      <c r="CX110" s="583"/>
      <c r="CY110" s="583"/>
      <c r="CZ110" s="583"/>
      <c r="DA110" s="583"/>
      <c r="DB110" s="583"/>
      <c r="DC110" s="583"/>
      <c r="DD110" s="583"/>
      <c r="DE110" s="584"/>
    </row>
    <row r="111" spans="1:109" s="2" customFormat="1" ht="23.25" customHeight="1">
      <c r="A111" s="612" t="s">
        <v>1159</v>
      </c>
      <c r="B111" s="601"/>
      <c r="C111" s="601"/>
      <c r="D111" s="601"/>
      <c r="E111" s="601"/>
      <c r="F111" s="601"/>
      <c r="G111" s="601"/>
      <c r="H111" s="601"/>
      <c r="I111" s="601"/>
      <c r="J111" s="601"/>
      <c r="K111" s="601"/>
      <c r="L111" s="601"/>
      <c r="M111" s="601"/>
      <c r="N111" s="601"/>
      <c r="O111" s="602"/>
      <c r="P111" s="622" t="s">
        <v>1245</v>
      </c>
      <c r="Q111" s="620"/>
      <c r="R111" s="620"/>
      <c r="S111" s="620"/>
      <c r="T111" s="620"/>
      <c r="U111" s="620"/>
      <c r="V111" s="620"/>
      <c r="W111" s="620"/>
      <c r="X111" s="620"/>
      <c r="Y111" s="620"/>
      <c r="Z111" s="620"/>
      <c r="AA111" s="620"/>
      <c r="AB111" s="620"/>
      <c r="AC111" s="621"/>
      <c r="AD111" s="414"/>
      <c r="AE111" s="415"/>
      <c r="AF111" s="416"/>
      <c r="AG111" s="613">
        <v>1</v>
      </c>
      <c r="AH111" s="614"/>
      <c r="AI111" s="614"/>
      <c r="AJ111" s="615"/>
      <c r="AK111" s="585">
        <f>207.19*30.41</f>
        <v>6300.6478999999999</v>
      </c>
      <c r="AL111" s="586"/>
      <c r="AM111" s="586"/>
      <c r="AN111" s="586"/>
      <c r="AO111" s="586"/>
      <c r="AP111" s="587"/>
      <c r="AQ111" s="583">
        <f t="shared" si="11"/>
        <v>75607.774799999999</v>
      </c>
      <c r="AR111" s="583"/>
      <c r="AS111" s="583"/>
      <c r="AT111" s="583"/>
      <c r="AU111" s="583"/>
      <c r="AV111" s="583"/>
      <c r="AW111" s="583"/>
      <c r="AX111" s="583"/>
      <c r="AY111" s="411"/>
      <c r="AZ111" s="412"/>
      <c r="BA111" s="412"/>
      <c r="BB111" s="412"/>
      <c r="BC111" s="412"/>
      <c r="BD111" s="412"/>
      <c r="BE111" s="412"/>
      <c r="BF111" s="413"/>
      <c r="BG111" s="588">
        <f>207.19*10</f>
        <v>2071.9</v>
      </c>
      <c r="BH111" s="589"/>
      <c r="BI111" s="589"/>
      <c r="BJ111" s="589"/>
      <c r="BK111" s="589"/>
      <c r="BL111" s="589"/>
      <c r="BM111" s="589"/>
      <c r="BN111" s="590"/>
      <c r="BO111" s="579">
        <f t="shared" si="9"/>
        <v>10357.229424657535</v>
      </c>
      <c r="BP111" s="580"/>
      <c r="BQ111" s="580"/>
      <c r="BR111" s="580"/>
      <c r="BS111" s="580"/>
      <c r="BT111" s="580"/>
      <c r="BU111" s="580"/>
      <c r="BV111" s="581"/>
      <c r="BW111" s="417"/>
      <c r="BX111" s="418"/>
      <c r="BY111" s="418"/>
      <c r="BZ111" s="418"/>
      <c r="CA111" s="418"/>
      <c r="CB111" s="418"/>
      <c r="CC111" s="418"/>
      <c r="CD111" s="419"/>
      <c r="CE111" s="417"/>
      <c r="CF111" s="418"/>
      <c r="CG111" s="418"/>
      <c r="CH111" s="418"/>
      <c r="CI111" s="418"/>
      <c r="CJ111" s="418"/>
      <c r="CK111" s="418"/>
      <c r="CL111" s="418"/>
      <c r="CM111" s="419"/>
      <c r="CN111" s="582">
        <f t="shared" si="12"/>
        <v>9600</v>
      </c>
      <c r="CO111" s="582"/>
      <c r="CP111" s="582"/>
      <c r="CQ111" s="582"/>
      <c r="CR111" s="582"/>
      <c r="CS111" s="582"/>
      <c r="CT111" s="582"/>
      <c r="CU111" s="582"/>
      <c r="CV111" s="583">
        <f t="shared" si="10"/>
        <v>97636.904224657526</v>
      </c>
      <c r="CW111" s="583"/>
      <c r="CX111" s="583"/>
      <c r="CY111" s="583"/>
      <c r="CZ111" s="583"/>
      <c r="DA111" s="583"/>
      <c r="DB111" s="583"/>
      <c r="DC111" s="583"/>
      <c r="DD111" s="583"/>
      <c r="DE111" s="584"/>
    </row>
    <row r="112" spans="1:109" s="2" customFormat="1" ht="23.25" customHeight="1">
      <c r="A112" s="612" t="s">
        <v>1246</v>
      </c>
      <c r="B112" s="601"/>
      <c r="C112" s="601"/>
      <c r="D112" s="601"/>
      <c r="E112" s="601"/>
      <c r="F112" s="601"/>
      <c r="G112" s="601"/>
      <c r="H112" s="601"/>
      <c r="I112" s="601"/>
      <c r="J112" s="601"/>
      <c r="K112" s="601"/>
      <c r="L112" s="601"/>
      <c r="M112" s="601"/>
      <c r="N112" s="601"/>
      <c r="O112" s="602"/>
      <c r="P112" s="622" t="s">
        <v>1247</v>
      </c>
      <c r="Q112" s="620"/>
      <c r="R112" s="620"/>
      <c r="S112" s="620"/>
      <c r="T112" s="620"/>
      <c r="U112" s="620"/>
      <c r="V112" s="620"/>
      <c r="W112" s="620"/>
      <c r="X112" s="620"/>
      <c r="Y112" s="620"/>
      <c r="Z112" s="620"/>
      <c r="AA112" s="620"/>
      <c r="AB112" s="620"/>
      <c r="AC112" s="621"/>
      <c r="AD112" s="414"/>
      <c r="AE112" s="415"/>
      <c r="AF112" s="416"/>
      <c r="AG112" s="613">
        <v>1</v>
      </c>
      <c r="AH112" s="614"/>
      <c r="AI112" s="614"/>
      <c r="AJ112" s="615"/>
      <c r="AK112" s="585">
        <f>320.08*30.41</f>
        <v>9733.6327999999994</v>
      </c>
      <c r="AL112" s="586"/>
      <c r="AM112" s="586"/>
      <c r="AN112" s="586"/>
      <c r="AO112" s="586"/>
      <c r="AP112" s="587"/>
      <c r="AQ112" s="583">
        <f t="shared" si="11"/>
        <v>116803.59359999999</v>
      </c>
      <c r="AR112" s="583"/>
      <c r="AS112" s="583"/>
      <c r="AT112" s="583"/>
      <c r="AU112" s="583"/>
      <c r="AV112" s="583"/>
      <c r="AW112" s="583"/>
      <c r="AX112" s="583"/>
      <c r="AY112" s="411"/>
      <c r="AZ112" s="412"/>
      <c r="BA112" s="412"/>
      <c r="BB112" s="412"/>
      <c r="BC112" s="412"/>
      <c r="BD112" s="412"/>
      <c r="BE112" s="412"/>
      <c r="BF112" s="413"/>
      <c r="BG112" s="588">
        <f>320.08*10</f>
        <v>3200.7999999999997</v>
      </c>
      <c r="BH112" s="589"/>
      <c r="BI112" s="589"/>
      <c r="BJ112" s="589"/>
      <c r="BK112" s="589"/>
      <c r="BL112" s="589"/>
      <c r="BM112" s="589"/>
      <c r="BN112" s="590"/>
      <c r="BO112" s="579">
        <f t="shared" si="9"/>
        <v>16000.492273972603</v>
      </c>
      <c r="BP112" s="580"/>
      <c r="BQ112" s="580"/>
      <c r="BR112" s="580"/>
      <c r="BS112" s="580"/>
      <c r="BT112" s="580"/>
      <c r="BU112" s="580"/>
      <c r="BV112" s="581"/>
      <c r="BW112" s="417"/>
      <c r="BX112" s="418"/>
      <c r="BY112" s="418"/>
      <c r="BZ112" s="418"/>
      <c r="CA112" s="418"/>
      <c r="CB112" s="418"/>
      <c r="CC112" s="418"/>
      <c r="CD112" s="419"/>
      <c r="CE112" s="417"/>
      <c r="CF112" s="418"/>
      <c r="CG112" s="418"/>
      <c r="CH112" s="418"/>
      <c r="CI112" s="418"/>
      <c r="CJ112" s="418"/>
      <c r="CK112" s="418"/>
      <c r="CL112" s="418"/>
      <c r="CM112" s="419"/>
      <c r="CN112" s="582">
        <f t="shared" si="12"/>
        <v>9600</v>
      </c>
      <c r="CO112" s="582"/>
      <c r="CP112" s="582"/>
      <c r="CQ112" s="582"/>
      <c r="CR112" s="582"/>
      <c r="CS112" s="582"/>
      <c r="CT112" s="582"/>
      <c r="CU112" s="582"/>
      <c r="CV112" s="583">
        <f t="shared" si="10"/>
        <v>145604.88587397261</v>
      </c>
      <c r="CW112" s="583"/>
      <c r="CX112" s="583"/>
      <c r="CY112" s="583"/>
      <c r="CZ112" s="583"/>
      <c r="DA112" s="583"/>
      <c r="DB112" s="583"/>
      <c r="DC112" s="583"/>
      <c r="DD112" s="583"/>
      <c r="DE112" s="584"/>
    </row>
    <row r="113" spans="1:109" s="2" customFormat="1" ht="23.25" customHeight="1">
      <c r="A113" s="612" t="s">
        <v>1248</v>
      </c>
      <c r="B113" s="601"/>
      <c r="C113" s="601"/>
      <c r="D113" s="601"/>
      <c r="E113" s="601"/>
      <c r="F113" s="601"/>
      <c r="G113" s="601"/>
      <c r="H113" s="601"/>
      <c r="I113" s="601"/>
      <c r="J113" s="601"/>
      <c r="K113" s="601"/>
      <c r="L113" s="601"/>
      <c r="M113" s="601"/>
      <c r="N113" s="601"/>
      <c r="O113" s="602"/>
      <c r="P113" s="622" t="s">
        <v>1247</v>
      </c>
      <c r="Q113" s="620"/>
      <c r="R113" s="620"/>
      <c r="S113" s="620"/>
      <c r="T113" s="620"/>
      <c r="U113" s="620"/>
      <c r="V113" s="620"/>
      <c r="W113" s="620"/>
      <c r="X113" s="620"/>
      <c r="Y113" s="620"/>
      <c r="Z113" s="620"/>
      <c r="AA113" s="620"/>
      <c r="AB113" s="620"/>
      <c r="AC113" s="621"/>
      <c r="AD113" s="414"/>
      <c r="AE113" s="415"/>
      <c r="AF113" s="416"/>
      <c r="AG113" s="613">
        <v>1</v>
      </c>
      <c r="AH113" s="614"/>
      <c r="AI113" s="614"/>
      <c r="AJ113" s="615"/>
      <c r="AK113" s="585">
        <f>320.08*30.41</f>
        <v>9733.6327999999994</v>
      </c>
      <c r="AL113" s="586"/>
      <c r="AM113" s="586"/>
      <c r="AN113" s="586"/>
      <c r="AO113" s="586"/>
      <c r="AP113" s="587"/>
      <c r="AQ113" s="583">
        <f t="shared" si="11"/>
        <v>116803.59359999999</v>
      </c>
      <c r="AR113" s="583"/>
      <c r="AS113" s="583"/>
      <c r="AT113" s="583"/>
      <c r="AU113" s="583"/>
      <c r="AV113" s="583"/>
      <c r="AW113" s="583"/>
      <c r="AX113" s="583"/>
      <c r="AY113" s="411"/>
      <c r="AZ113" s="412"/>
      <c r="BA113" s="412"/>
      <c r="BB113" s="412"/>
      <c r="BC113" s="412"/>
      <c r="BD113" s="412"/>
      <c r="BE113" s="412"/>
      <c r="BF113" s="413"/>
      <c r="BG113" s="588">
        <f>320.08*10</f>
        <v>3200.7999999999997</v>
      </c>
      <c r="BH113" s="589"/>
      <c r="BI113" s="589"/>
      <c r="BJ113" s="589"/>
      <c r="BK113" s="589"/>
      <c r="BL113" s="589"/>
      <c r="BM113" s="589"/>
      <c r="BN113" s="590"/>
      <c r="BO113" s="579">
        <f t="shared" si="9"/>
        <v>16000.492273972603</v>
      </c>
      <c r="BP113" s="580"/>
      <c r="BQ113" s="580"/>
      <c r="BR113" s="580"/>
      <c r="BS113" s="580"/>
      <c r="BT113" s="580"/>
      <c r="BU113" s="580"/>
      <c r="BV113" s="581"/>
      <c r="BW113" s="417"/>
      <c r="BX113" s="418"/>
      <c r="BY113" s="418"/>
      <c r="BZ113" s="418"/>
      <c r="CA113" s="418"/>
      <c r="CB113" s="418"/>
      <c r="CC113" s="418"/>
      <c r="CD113" s="419"/>
      <c r="CE113" s="417"/>
      <c r="CF113" s="418"/>
      <c r="CG113" s="418"/>
      <c r="CH113" s="418"/>
      <c r="CI113" s="418"/>
      <c r="CJ113" s="418"/>
      <c r="CK113" s="418"/>
      <c r="CL113" s="418"/>
      <c r="CM113" s="419"/>
      <c r="CN113" s="582">
        <f t="shared" si="12"/>
        <v>9600</v>
      </c>
      <c r="CO113" s="582"/>
      <c r="CP113" s="582"/>
      <c r="CQ113" s="582"/>
      <c r="CR113" s="582"/>
      <c r="CS113" s="582"/>
      <c r="CT113" s="582"/>
      <c r="CU113" s="582"/>
      <c r="CV113" s="583">
        <f t="shared" si="10"/>
        <v>145604.88587397261</v>
      </c>
      <c r="CW113" s="583"/>
      <c r="CX113" s="583"/>
      <c r="CY113" s="583"/>
      <c r="CZ113" s="583"/>
      <c r="DA113" s="583"/>
      <c r="DB113" s="583"/>
      <c r="DC113" s="583"/>
      <c r="DD113" s="583"/>
      <c r="DE113" s="584"/>
    </row>
    <row r="114" spans="1:109" s="2" customFormat="1" ht="23.25" customHeight="1">
      <c r="A114" s="619" t="s">
        <v>1249</v>
      </c>
      <c r="B114" s="620"/>
      <c r="C114" s="620"/>
      <c r="D114" s="620"/>
      <c r="E114" s="620"/>
      <c r="F114" s="620"/>
      <c r="G114" s="620"/>
      <c r="H114" s="620"/>
      <c r="I114" s="620"/>
      <c r="J114" s="620"/>
      <c r="K114" s="620"/>
      <c r="L114" s="620"/>
      <c r="M114" s="620"/>
      <c r="N114" s="620"/>
      <c r="O114" s="621"/>
      <c r="P114" s="622" t="s">
        <v>1250</v>
      </c>
      <c r="Q114" s="620"/>
      <c r="R114" s="620"/>
      <c r="S114" s="620"/>
      <c r="T114" s="620"/>
      <c r="U114" s="620"/>
      <c r="V114" s="620"/>
      <c r="W114" s="620"/>
      <c r="X114" s="620"/>
      <c r="Y114" s="620"/>
      <c r="Z114" s="620"/>
      <c r="AA114" s="620"/>
      <c r="AB114" s="620"/>
      <c r="AC114" s="621"/>
      <c r="AD114" s="414"/>
      <c r="AE114" s="415"/>
      <c r="AF114" s="416"/>
      <c r="AG114" s="613">
        <v>1</v>
      </c>
      <c r="AH114" s="614"/>
      <c r="AI114" s="614"/>
      <c r="AJ114" s="615"/>
      <c r="AK114" s="623">
        <f>296.54*30.41</f>
        <v>9017.7813999999998</v>
      </c>
      <c r="AL114" s="624"/>
      <c r="AM114" s="624"/>
      <c r="AN114" s="624"/>
      <c r="AO114" s="624"/>
      <c r="AP114" s="625"/>
      <c r="AQ114" s="583">
        <f t="shared" si="11"/>
        <v>108213.3768</v>
      </c>
      <c r="AR114" s="583"/>
      <c r="AS114" s="583"/>
      <c r="AT114" s="583"/>
      <c r="AU114" s="583"/>
      <c r="AV114" s="583"/>
      <c r="AW114" s="583"/>
      <c r="AX114" s="583"/>
      <c r="AY114" s="411"/>
      <c r="AZ114" s="412"/>
      <c r="BA114" s="412"/>
      <c r="BB114" s="412"/>
      <c r="BC114" s="412"/>
      <c r="BD114" s="412"/>
      <c r="BE114" s="412"/>
      <c r="BF114" s="413"/>
      <c r="BG114" s="588">
        <f>296.54*10</f>
        <v>2965.4</v>
      </c>
      <c r="BH114" s="589"/>
      <c r="BI114" s="589"/>
      <c r="BJ114" s="589"/>
      <c r="BK114" s="589"/>
      <c r="BL114" s="589"/>
      <c r="BM114" s="589"/>
      <c r="BN114" s="590"/>
      <c r="BO114" s="579">
        <f t="shared" si="9"/>
        <v>14823.75024657534</v>
      </c>
      <c r="BP114" s="580"/>
      <c r="BQ114" s="580"/>
      <c r="BR114" s="580"/>
      <c r="BS114" s="580"/>
      <c r="BT114" s="580"/>
      <c r="BU114" s="580"/>
      <c r="BV114" s="581"/>
      <c r="BW114" s="417"/>
      <c r="BX114" s="418"/>
      <c r="BY114" s="418"/>
      <c r="BZ114" s="418"/>
      <c r="CA114" s="418"/>
      <c r="CB114" s="418"/>
      <c r="CC114" s="418"/>
      <c r="CD114" s="419"/>
      <c r="CE114" s="417"/>
      <c r="CF114" s="418"/>
      <c r="CG114" s="418"/>
      <c r="CH114" s="418"/>
      <c r="CI114" s="418"/>
      <c r="CJ114" s="418"/>
      <c r="CK114" s="418"/>
      <c r="CL114" s="418"/>
      <c r="CM114" s="419"/>
      <c r="CN114" s="582">
        <f t="shared" si="12"/>
        <v>9600</v>
      </c>
      <c r="CO114" s="582"/>
      <c r="CP114" s="582"/>
      <c r="CQ114" s="582"/>
      <c r="CR114" s="582"/>
      <c r="CS114" s="582"/>
      <c r="CT114" s="582"/>
      <c r="CU114" s="582"/>
      <c r="CV114" s="583">
        <f t="shared" si="10"/>
        <v>135602.52704657533</v>
      </c>
      <c r="CW114" s="583"/>
      <c r="CX114" s="583"/>
      <c r="CY114" s="583"/>
      <c r="CZ114" s="583"/>
      <c r="DA114" s="583"/>
      <c r="DB114" s="583"/>
      <c r="DC114" s="583"/>
      <c r="DD114" s="583"/>
      <c r="DE114" s="584"/>
    </row>
    <row r="115" spans="1:109" s="2" customFormat="1" ht="23.25" customHeight="1">
      <c r="A115" s="619" t="s">
        <v>1251</v>
      </c>
      <c r="B115" s="620"/>
      <c r="C115" s="620"/>
      <c r="D115" s="620"/>
      <c r="E115" s="620"/>
      <c r="F115" s="620"/>
      <c r="G115" s="620"/>
      <c r="H115" s="620"/>
      <c r="I115" s="620"/>
      <c r="J115" s="620"/>
      <c r="K115" s="620"/>
      <c r="L115" s="620"/>
      <c r="M115" s="620"/>
      <c r="N115" s="620"/>
      <c r="O115" s="621"/>
      <c r="P115" s="622" t="s">
        <v>1250</v>
      </c>
      <c r="Q115" s="620"/>
      <c r="R115" s="620"/>
      <c r="S115" s="620"/>
      <c r="T115" s="620"/>
      <c r="U115" s="620"/>
      <c r="V115" s="620"/>
      <c r="W115" s="620"/>
      <c r="X115" s="620"/>
      <c r="Y115" s="620"/>
      <c r="Z115" s="620"/>
      <c r="AA115" s="620"/>
      <c r="AB115" s="620"/>
      <c r="AC115" s="621"/>
      <c r="AD115" s="414"/>
      <c r="AE115" s="415"/>
      <c r="AF115" s="416"/>
      <c r="AG115" s="613">
        <v>1</v>
      </c>
      <c r="AH115" s="614"/>
      <c r="AI115" s="614"/>
      <c r="AJ115" s="615"/>
      <c r="AK115" s="623">
        <f>170*30.41</f>
        <v>5169.7</v>
      </c>
      <c r="AL115" s="624"/>
      <c r="AM115" s="624"/>
      <c r="AN115" s="624"/>
      <c r="AO115" s="624"/>
      <c r="AP115" s="625"/>
      <c r="AQ115" s="583">
        <f t="shared" si="11"/>
        <v>62036.399999999994</v>
      </c>
      <c r="AR115" s="583"/>
      <c r="AS115" s="583"/>
      <c r="AT115" s="583"/>
      <c r="AU115" s="583"/>
      <c r="AV115" s="583"/>
      <c r="AW115" s="583"/>
      <c r="AX115" s="583"/>
      <c r="AY115" s="411"/>
      <c r="AZ115" s="412"/>
      <c r="BA115" s="412"/>
      <c r="BB115" s="412"/>
      <c r="BC115" s="412"/>
      <c r="BD115" s="412"/>
      <c r="BE115" s="412"/>
      <c r="BF115" s="413"/>
      <c r="BG115" s="588">
        <f>170*10</f>
        <v>1700</v>
      </c>
      <c r="BH115" s="589"/>
      <c r="BI115" s="589"/>
      <c r="BJ115" s="589"/>
      <c r="BK115" s="589"/>
      <c r="BL115" s="589"/>
      <c r="BM115" s="589"/>
      <c r="BN115" s="590"/>
      <c r="BO115" s="579">
        <f t="shared" si="9"/>
        <v>8498.1369863013697</v>
      </c>
      <c r="BP115" s="580"/>
      <c r="BQ115" s="580"/>
      <c r="BR115" s="580"/>
      <c r="BS115" s="580"/>
      <c r="BT115" s="580"/>
      <c r="BU115" s="580"/>
      <c r="BV115" s="581"/>
      <c r="BW115" s="417"/>
      <c r="BX115" s="418"/>
      <c r="BY115" s="418"/>
      <c r="BZ115" s="418"/>
      <c r="CA115" s="418"/>
      <c r="CB115" s="418"/>
      <c r="CC115" s="418"/>
      <c r="CD115" s="419"/>
      <c r="CE115" s="417"/>
      <c r="CF115" s="418"/>
      <c r="CG115" s="418"/>
      <c r="CH115" s="418"/>
      <c r="CI115" s="418"/>
      <c r="CJ115" s="418"/>
      <c r="CK115" s="418"/>
      <c r="CL115" s="418"/>
      <c r="CM115" s="419"/>
      <c r="CN115" s="582">
        <f t="shared" si="12"/>
        <v>9600</v>
      </c>
      <c r="CO115" s="582"/>
      <c r="CP115" s="582"/>
      <c r="CQ115" s="582"/>
      <c r="CR115" s="582"/>
      <c r="CS115" s="582"/>
      <c r="CT115" s="582"/>
      <c r="CU115" s="582"/>
      <c r="CV115" s="583">
        <f t="shared" si="10"/>
        <v>81834.536986301362</v>
      </c>
      <c r="CW115" s="583"/>
      <c r="CX115" s="583"/>
      <c r="CY115" s="583"/>
      <c r="CZ115" s="583"/>
      <c r="DA115" s="583"/>
      <c r="DB115" s="583"/>
      <c r="DC115" s="583"/>
      <c r="DD115" s="583"/>
      <c r="DE115" s="584"/>
    </row>
    <row r="116" spans="1:109" s="2" customFormat="1" ht="23.25" customHeight="1">
      <c r="A116" s="619" t="s">
        <v>1252</v>
      </c>
      <c r="B116" s="620"/>
      <c r="C116" s="620"/>
      <c r="D116" s="620"/>
      <c r="E116" s="620"/>
      <c r="F116" s="620"/>
      <c r="G116" s="620"/>
      <c r="H116" s="620"/>
      <c r="I116" s="620"/>
      <c r="J116" s="620"/>
      <c r="K116" s="620"/>
      <c r="L116" s="620"/>
      <c r="M116" s="620"/>
      <c r="N116" s="620"/>
      <c r="O116" s="621"/>
      <c r="P116" s="622" t="s">
        <v>1253</v>
      </c>
      <c r="Q116" s="620"/>
      <c r="R116" s="620"/>
      <c r="S116" s="620"/>
      <c r="T116" s="620"/>
      <c r="U116" s="620"/>
      <c r="V116" s="620"/>
      <c r="W116" s="620"/>
      <c r="X116" s="620"/>
      <c r="Y116" s="620"/>
      <c r="Z116" s="620"/>
      <c r="AA116" s="620"/>
      <c r="AB116" s="620"/>
      <c r="AC116" s="621"/>
      <c r="AD116" s="414"/>
      <c r="AE116" s="415"/>
      <c r="AF116" s="416"/>
      <c r="AG116" s="613">
        <v>1</v>
      </c>
      <c r="AH116" s="614"/>
      <c r="AI116" s="614"/>
      <c r="AJ116" s="615"/>
      <c r="AK116" s="623">
        <f>296.54*30.4</f>
        <v>9014.8160000000007</v>
      </c>
      <c r="AL116" s="624"/>
      <c r="AM116" s="624"/>
      <c r="AN116" s="624"/>
      <c r="AO116" s="624"/>
      <c r="AP116" s="625"/>
      <c r="AQ116" s="583">
        <f t="shared" si="11"/>
        <v>108177.79200000002</v>
      </c>
      <c r="AR116" s="583"/>
      <c r="AS116" s="583"/>
      <c r="AT116" s="583"/>
      <c r="AU116" s="583"/>
      <c r="AV116" s="583"/>
      <c r="AW116" s="583"/>
      <c r="AX116" s="583"/>
      <c r="AY116" s="411"/>
      <c r="AZ116" s="412"/>
      <c r="BA116" s="412"/>
      <c r="BB116" s="412"/>
      <c r="BC116" s="412"/>
      <c r="BD116" s="412"/>
      <c r="BE116" s="412"/>
      <c r="BF116" s="413"/>
      <c r="BG116" s="588">
        <f>296.54*10</f>
        <v>2965.4</v>
      </c>
      <c r="BH116" s="589"/>
      <c r="BI116" s="589"/>
      <c r="BJ116" s="589"/>
      <c r="BK116" s="589"/>
      <c r="BL116" s="589"/>
      <c r="BM116" s="589"/>
      <c r="BN116" s="590"/>
      <c r="BO116" s="579">
        <f t="shared" si="9"/>
        <v>14818.875616438359</v>
      </c>
      <c r="BP116" s="580"/>
      <c r="BQ116" s="580"/>
      <c r="BR116" s="580"/>
      <c r="BS116" s="580"/>
      <c r="BT116" s="580"/>
      <c r="BU116" s="580"/>
      <c r="BV116" s="581"/>
      <c r="BW116" s="417"/>
      <c r="BX116" s="418"/>
      <c r="BY116" s="418"/>
      <c r="BZ116" s="418"/>
      <c r="CA116" s="418"/>
      <c r="CB116" s="418"/>
      <c r="CC116" s="418"/>
      <c r="CD116" s="419"/>
      <c r="CE116" s="417"/>
      <c r="CF116" s="418"/>
      <c r="CG116" s="418"/>
      <c r="CH116" s="418"/>
      <c r="CI116" s="418"/>
      <c r="CJ116" s="418"/>
      <c r="CK116" s="418"/>
      <c r="CL116" s="418"/>
      <c r="CM116" s="419"/>
      <c r="CN116" s="582">
        <f t="shared" si="12"/>
        <v>9600</v>
      </c>
      <c r="CO116" s="582"/>
      <c r="CP116" s="582"/>
      <c r="CQ116" s="582"/>
      <c r="CR116" s="582"/>
      <c r="CS116" s="582"/>
      <c r="CT116" s="582"/>
      <c r="CU116" s="582"/>
      <c r="CV116" s="583">
        <f t="shared" si="10"/>
        <v>135562.06761643838</v>
      </c>
      <c r="CW116" s="583"/>
      <c r="CX116" s="583"/>
      <c r="CY116" s="583"/>
      <c r="CZ116" s="583"/>
      <c r="DA116" s="583"/>
      <c r="DB116" s="583"/>
      <c r="DC116" s="583"/>
      <c r="DD116" s="583"/>
      <c r="DE116" s="584"/>
    </row>
    <row r="117" spans="1:109" s="2" customFormat="1" ht="23.25" customHeight="1">
      <c r="A117" s="619" t="s">
        <v>1254</v>
      </c>
      <c r="B117" s="620"/>
      <c r="C117" s="620"/>
      <c r="D117" s="620"/>
      <c r="E117" s="620"/>
      <c r="F117" s="620"/>
      <c r="G117" s="620"/>
      <c r="H117" s="620"/>
      <c r="I117" s="620"/>
      <c r="J117" s="620"/>
      <c r="K117" s="620"/>
      <c r="L117" s="620"/>
      <c r="M117" s="620"/>
      <c r="N117" s="620"/>
      <c r="O117" s="621"/>
      <c r="P117" s="622" t="s">
        <v>1253</v>
      </c>
      <c r="Q117" s="620"/>
      <c r="R117" s="620"/>
      <c r="S117" s="620"/>
      <c r="T117" s="620"/>
      <c r="U117" s="620"/>
      <c r="V117" s="620"/>
      <c r="W117" s="620"/>
      <c r="X117" s="620"/>
      <c r="Y117" s="620"/>
      <c r="Z117" s="620"/>
      <c r="AA117" s="620"/>
      <c r="AB117" s="620"/>
      <c r="AC117" s="621"/>
      <c r="AD117" s="414"/>
      <c r="AE117" s="415"/>
      <c r="AF117" s="416"/>
      <c r="AG117" s="613">
        <v>1</v>
      </c>
      <c r="AH117" s="614"/>
      <c r="AI117" s="614"/>
      <c r="AJ117" s="615"/>
      <c r="AK117" s="623">
        <f>258.18*30.41</f>
        <v>7851.2538000000004</v>
      </c>
      <c r="AL117" s="624"/>
      <c r="AM117" s="624"/>
      <c r="AN117" s="624"/>
      <c r="AO117" s="624"/>
      <c r="AP117" s="625"/>
      <c r="AQ117" s="583">
        <f t="shared" si="11"/>
        <v>94215.045600000012</v>
      </c>
      <c r="AR117" s="583"/>
      <c r="AS117" s="583"/>
      <c r="AT117" s="583"/>
      <c r="AU117" s="583"/>
      <c r="AV117" s="583"/>
      <c r="AW117" s="583"/>
      <c r="AX117" s="583"/>
      <c r="AY117" s="411"/>
      <c r="AZ117" s="412"/>
      <c r="BA117" s="412"/>
      <c r="BB117" s="412"/>
      <c r="BC117" s="412"/>
      <c r="BD117" s="412"/>
      <c r="BE117" s="412"/>
      <c r="BF117" s="413"/>
      <c r="BG117" s="588">
        <f>258.18*10</f>
        <v>2581.8000000000002</v>
      </c>
      <c r="BH117" s="589"/>
      <c r="BI117" s="589"/>
      <c r="BJ117" s="589"/>
      <c r="BK117" s="589"/>
      <c r="BL117" s="589"/>
      <c r="BM117" s="589"/>
      <c r="BN117" s="590"/>
      <c r="BO117" s="579">
        <f t="shared" si="9"/>
        <v>12906.170630136987</v>
      </c>
      <c r="BP117" s="580"/>
      <c r="BQ117" s="580"/>
      <c r="BR117" s="580"/>
      <c r="BS117" s="580"/>
      <c r="BT117" s="580"/>
      <c r="BU117" s="580"/>
      <c r="BV117" s="581"/>
      <c r="BW117" s="417"/>
      <c r="BX117" s="418"/>
      <c r="BY117" s="418"/>
      <c r="BZ117" s="418"/>
      <c r="CA117" s="418"/>
      <c r="CB117" s="418"/>
      <c r="CC117" s="418"/>
      <c r="CD117" s="419"/>
      <c r="CE117" s="417"/>
      <c r="CF117" s="418"/>
      <c r="CG117" s="418"/>
      <c r="CH117" s="418"/>
      <c r="CI117" s="418"/>
      <c r="CJ117" s="418"/>
      <c r="CK117" s="418"/>
      <c r="CL117" s="418"/>
      <c r="CM117" s="419"/>
      <c r="CN117" s="582">
        <f t="shared" si="12"/>
        <v>9600</v>
      </c>
      <c r="CO117" s="582"/>
      <c r="CP117" s="582"/>
      <c r="CQ117" s="582"/>
      <c r="CR117" s="582"/>
      <c r="CS117" s="582"/>
      <c r="CT117" s="582"/>
      <c r="CU117" s="582"/>
      <c r="CV117" s="583">
        <f t="shared" si="10"/>
        <v>119303.016230137</v>
      </c>
      <c r="CW117" s="583"/>
      <c r="CX117" s="583"/>
      <c r="CY117" s="583"/>
      <c r="CZ117" s="583"/>
      <c r="DA117" s="583"/>
      <c r="DB117" s="583"/>
      <c r="DC117" s="583"/>
      <c r="DD117" s="583"/>
      <c r="DE117" s="584"/>
    </row>
    <row r="118" spans="1:109" s="2" customFormat="1" ht="23.25" customHeight="1">
      <c r="A118" s="619" t="s">
        <v>1255</v>
      </c>
      <c r="B118" s="620"/>
      <c r="C118" s="620"/>
      <c r="D118" s="620"/>
      <c r="E118" s="620"/>
      <c r="F118" s="620"/>
      <c r="G118" s="620"/>
      <c r="H118" s="620"/>
      <c r="I118" s="620"/>
      <c r="J118" s="620"/>
      <c r="K118" s="620"/>
      <c r="L118" s="620"/>
      <c r="M118" s="620"/>
      <c r="N118" s="620"/>
      <c r="O118" s="621"/>
      <c r="P118" s="622" t="s">
        <v>1253</v>
      </c>
      <c r="Q118" s="620"/>
      <c r="R118" s="620"/>
      <c r="S118" s="620"/>
      <c r="T118" s="620"/>
      <c r="U118" s="620"/>
      <c r="V118" s="620"/>
      <c r="W118" s="620"/>
      <c r="X118" s="620"/>
      <c r="Y118" s="620"/>
      <c r="Z118" s="620"/>
      <c r="AA118" s="620"/>
      <c r="AB118" s="620"/>
      <c r="AC118" s="621"/>
      <c r="AD118" s="414"/>
      <c r="AE118" s="415"/>
      <c r="AF118" s="416"/>
      <c r="AG118" s="613">
        <v>4</v>
      </c>
      <c r="AH118" s="614"/>
      <c r="AI118" s="614"/>
      <c r="AJ118" s="615"/>
      <c r="AK118" s="623">
        <f>258.18*30.41</f>
        <v>7851.2538000000004</v>
      </c>
      <c r="AL118" s="624"/>
      <c r="AM118" s="624"/>
      <c r="AN118" s="624"/>
      <c r="AO118" s="624"/>
      <c r="AP118" s="625"/>
      <c r="AQ118" s="583">
        <f t="shared" si="11"/>
        <v>376860.18240000005</v>
      </c>
      <c r="AR118" s="583"/>
      <c r="AS118" s="583"/>
      <c r="AT118" s="583"/>
      <c r="AU118" s="583"/>
      <c r="AV118" s="583"/>
      <c r="AW118" s="583"/>
      <c r="AX118" s="583"/>
      <c r="AY118" s="411"/>
      <c r="AZ118" s="412"/>
      <c r="BA118" s="412"/>
      <c r="BB118" s="412"/>
      <c r="BC118" s="412"/>
      <c r="BD118" s="412"/>
      <c r="BE118" s="412"/>
      <c r="BF118" s="413"/>
      <c r="BG118" s="588">
        <f>258.18*10</f>
        <v>2581.8000000000002</v>
      </c>
      <c r="BH118" s="589"/>
      <c r="BI118" s="589"/>
      <c r="BJ118" s="589"/>
      <c r="BK118" s="589"/>
      <c r="BL118" s="589"/>
      <c r="BM118" s="589"/>
      <c r="BN118" s="590"/>
      <c r="BO118" s="579">
        <f t="shared" si="9"/>
        <v>51624.682520547947</v>
      </c>
      <c r="BP118" s="580"/>
      <c r="BQ118" s="580"/>
      <c r="BR118" s="580"/>
      <c r="BS118" s="580"/>
      <c r="BT118" s="580"/>
      <c r="BU118" s="580"/>
      <c r="BV118" s="581"/>
      <c r="BW118" s="417"/>
      <c r="BX118" s="418"/>
      <c r="BY118" s="418"/>
      <c r="BZ118" s="418"/>
      <c r="CA118" s="418"/>
      <c r="CB118" s="418"/>
      <c r="CC118" s="418"/>
      <c r="CD118" s="419"/>
      <c r="CE118" s="417"/>
      <c r="CF118" s="418"/>
      <c r="CG118" s="418"/>
      <c r="CH118" s="418"/>
      <c r="CI118" s="418"/>
      <c r="CJ118" s="418"/>
      <c r="CK118" s="418"/>
      <c r="CL118" s="418"/>
      <c r="CM118" s="419"/>
      <c r="CN118" s="582">
        <f t="shared" si="12"/>
        <v>9600</v>
      </c>
      <c r="CO118" s="582"/>
      <c r="CP118" s="582"/>
      <c r="CQ118" s="582"/>
      <c r="CR118" s="582"/>
      <c r="CS118" s="582"/>
      <c r="CT118" s="582"/>
      <c r="CU118" s="582"/>
      <c r="CV118" s="583">
        <f t="shared" si="10"/>
        <v>440666.66492054798</v>
      </c>
      <c r="CW118" s="583"/>
      <c r="CX118" s="583"/>
      <c r="CY118" s="583"/>
      <c r="CZ118" s="583"/>
      <c r="DA118" s="583"/>
      <c r="DB118" s="583"/>
      <c r="DC118" s="583"/>
      <c r="DD118" s="583"/>
      <c r="DE118" s="584"/>
    </row>
    <row r="119" spans="1:109" s="2" customFormat="1" ht="23.25" customHeight="1">
      <c r="A119" s="619" t="s">
        <v>1256</v>
      </c>
      <c r="B119" s="620"/>
      <c r="C119" s="620"/>
      <c r="D119" s="620"/>
      <c r="E119" s="620"/>
      <c r="F119" s="620"/>
      <c r="G119" s="620"/>
      <c r="H119" s="620"/>
      <c r="I119" s="620"/>
      <c r="J119" s="620"/>
      <c r="K119" s="620"/>
      <c r="L119" s="620"/>
      <c r="M119" s="620"/>
      <c r="N119" s="620"/>
      <c r="O119" s="621"/>
      <c r="P119" s="622" t="s">
        <v>1253</v>
      </c>
      <c r="Q119" s="620"/>
      <c r="R119" s="620"/>
      <c r="S119" s="620"/>
      <c r="T119" s="620"/>
      <c r="U119" s="620"/>
      <c r="V119" s="620"/>
      <c r="W119" s="620"/>
      <c r="X119" s="620"/>
      <c r="Y119" s="620"/>
      <c r="Z119" s="620"/>
      <c r="AA119" s="620"/>
      <c r="AB119" s="620"/>
      <c r="AC119" s="621"/>
      <c r="AD119" s="414"/>
      <c r="AE119" s="415"/>
      <c r="AF119" s="416"/>
      <c r="AG119" s="613">
        <v>1</v>
      </c>
      <c r="AH119" s="614"/>
      <c r="AI119" s="614"/>
      <c r="AJ119" s="615"/>
      <c r="AK119" s="623">
        <f>296.54*30.41</f>
        <v>9017.7813999999998</v>
      </c>
      <c r="AL119" s="624"/>
      <c r="AM119" s="624"/>
      <c r="AN119" s="624"/>
      <c r="AO119" s="624"/>
      <c r="AP119" s="625"/>
      <c r="AQ119" s="583">
        <f t="shared" si="11"/>
        <v>108213.3768</v>
      </c>
      <c r="AR119" s="583"/>
      <c r="AS119" s="583"/>
      <c r="AT119" s="583"/>
      <c r="AU119" s="583"/>
      <c r="AV119" s="583"/>
      <c r="AW119" s="583"/>
      <c r="AX119" s="583"/>
      <c r="AY119" s="411"/>
      <c r="AZ119" s="412"/>
      <c r="BA119" s="412"/>
      <c r="BB119" s="412"/>
      <c r="BC119" s="412"/>
      <c r="BD119" s="412"/>
      <c r="BE119" s="412"/>
      <c r="BF119" s="413"/>
      <c r="BG119" s="588">
        <f>296.54*10</f>
        <v>2965.4</v>
      </c>
      <c r="BH119" s="589"/>
      <c r="BI119" s="589"/>
      <c r="BJ119" s="589"/>
      <c r="BK119" s="589"/>
      <c r="BL119" s="589"/>
      <c r="BM119" s="589"/>
      <c r="BN119" s="590"/>
      <c r="BO119" s="579">
        <f t="shared" si="9"/>
        <v>14823.75024657534</v>
      </c>
      <c r="BP119" s="580"/>
      <c r="BQ119" s="580"/>
      <c r="BR119" s="580"/>
      <c r="BS119" s="580"/>
      <c r="BT119" s="580"/>
      <c r="BU119" s="580"/>
      <c r="BV119" s="581"/>
      <c r="BW119" s="417"/>
      <c r="BX119" s="418"/>
      <c r="BY119" s="418"/>
      <c r="BZ119" s="418"/>
      <c r="CA119" s="418"/>
      <c r="CB119" s="418"/>
      <c r="CC119" s="418"/>
      <c r="CD119" s="419"/>
      <c r="CE119" s="417"/>
      <c r="CF119" s="418"/>
      <c r="CG119" s="418"/>
      <c r="CH119" s="418"/>
      <c r="CI119" s="418"/>
      <c r="CJ119" s="418"/>
      <c r="CK119" s="418"/>
      <c r="CL119" s="418"/>
      <c r="CM119" s="419"/>
      <c r="CN119" s="582">
        <f t="shared" si="12"/>
        <v>9600</v>
      </c>
      <c r="CO119" s="582"/>
      <c r="CP119" s="582"/>
      <c r="CQ119" s="582"/>
      <c r="CR119" s="582"/>
      <c r="CS119" s="582"/>
      <c r="CT119" s="582"/>
      <c r="CU119" s="582"/>
      <c r="CV119" s="583">
        <f t="shared" si="10"/>
        <v>135602.52704657533</v>
      </c>
      <c r="CW119" s="583"/>
      <c r="CX119" s="583"/>
      <c r="CY119" s="583"/>
      <c r="CZ119" s="583"/>
      <c r="DA119" s="583"/>
      <c r="DB119" s="583"/>
      <c r="DC119" s="583"/>
      <c r="DD119" s="583"/>
      <c r="DE119" s="584"/>
    </row>
    <row r="120" spans="1:109" s="2" customFormat="1" ht="23.25" customHeight="1">
      <c r="A120" s="619" t="s">
        <v>1257</v>
      </c>
      <c r="B120" s="620"/>
      <c r="C120" s="620"/>
      <c r="D120" s="620"/>
      <c r="E120" s="620"/>
      <c r="F120" s="620"/>
      <c r="G120" s="620"/>
      <c r="H120" s="620"/>
      <c r="I120" s="620"/>
      <c r="J120" s="620"/>
      <c r="K120" s="620"/>
      <c r="L120" s="620"/>
      <c r="M120" s="620"/>
      <c r="N120" s="620"/>
      <c r="O120" s="621"/>
      <c r="P120" s="622" t="s">
        <v>1253</v>
      </c>
      <c r="Q120" s="620"/>
      <c r="R120" s="620"/>
      <c r="S120" s="620"/>
      <c r="T120" s="620"/>
      <c r="U120" s="620"/>
      <c r="V120" s="620"/>
      <c r="W120" s="620"/>
      <c r="X120" s="620"/>
      <c r="Y120" s="620"/>
      <c r="Z120" s="620"/>
      <c r="AA120" s="620"/>
      <c r="AB120" s="620"/>
      <c r="AC120" s="621"/>
      <c r="AD120" s="414"/>
      <c r="AE120" s="415"/>
      <c r="AF120" s="416"/>
      <c r="AG120" s="613">
        <v>6</v>
      </c>
      <c r="AH120" s="614"/>
      <c r="AI120" s="614"/>
      <c r="AJ120" s="615"/>
      <c r="AK120" s="623">
        <f>276.03*30.41</f>
        <v>8394.0722999999998</v>
      </c>
      <c r="AL120" s="624"/>
      <c r="AM120" s="624"/>
      <c r="AN120" s="624"/>
      <c r="AO120" s="624"/>
      <c r="AP120" s="625"/>
      <c r="AQ120" s="583">
        <f t="shared" si="11"/>
        <v>604373.20559999999</v>
      </c>
      <c r="AR120" s="583"/>
      <c r="AS120" s="583"/>
      <c r="AT120" s="583"/>
      <c r="AU120" s="583"/>
      <c r="AV120" s="583"/>
      <c r="AW120" s="583"/>
      <c r="AX120" s="583"/>
      <c r="AY120" s="411"/>
      <c r="AZ120" s="412"/>
      <c r="BA120" s="412"/>
      <c r="BB120" s="412"/>
      <c r="BC120" s="412"/>
      <c r="BD120" s="412"/>
      <c r="BE120" s="412"/>
      <c r="BF120" s="413"/>
      <c r="BG120" s="588">
        <f>276.03*10</f>
        <v>2760.2999999999997</v>
      </c>
      <c r="BH120" s="589"/>
      <c r="BI120" s="589"/>
      <c r="BJ120" s="589"/>
      <c r="BK120" s="589"/>
      <c r="BL120" s="589"/>
      <c r="BM120" s="589"/>
      <c r="BN120" s="590"/>
      <c r="BO120" s="579">
        <f t="shared" si="9"/>
        <v>82790.85008219177</v>
      </c>
      <c r="BP120" s="580"/>
      <c r="BQ120" s="580"/>
      <c r="BR120" s="580"/>
      <c r="BS120" s="580"/>
      <c r="BT120" s="580"/>
      <c r="BU120" s="580"/>
      <c r="BV120" s="581"/>
      <c r="BW120" s="417"/>
      <c r="BX120" s="418"/>
      <c r="BY120" s="418"/>
      <c r="BZ120" s="418"/>
      <c r="CA120" s="418"/>
      <c r="CB120" s="418"/>
      <c r="CC120" s="418"/>
      <c r="CD120" s="419"/>
      <c r="CE120" s="417"/>
      <c r="CF120" s="418"/>
      <c r="CG120" s="418"/>
      <c r="CH120" s="418"/>
      <c r="CI120" s="418"/>
      <c r="CJ120" s="418"/>
      <c r="CK120" s="418"/>
      <c r="CL120" s="418"/>
      <c r="CM120" s="419"/>
      <c r="CN120" s="582">
        <f t="shared" si="12"/>
        <v>9600</v>
      </c>
      <c r="CO120" s="582"/>
      <c r="CP120" s="582"/>
      <c r="CQ120" s="582"/>
      <c r="CR120" s="582"/>
      <c r="CS120" s="582"/>
      <c r="CT120" s="582"/>
      <c r="CU120" s="582"/>
      <c r="CV120" s="583">
        <f t="shared" si="10"/>
        <v>699524.35568219179</v>
      </c>
      <c r="CW120" s="583"/>
      <c r="CX120" s="583"/>
      <c r="CY120" s="583"/>
      <c r="CZ120" s="583"/>
      <c r="DA120" s="583"/>
      <c r="DB120" s="583"/>
      <c r="DC120" s="583"/>
      <c r="DD120" s="583"/>
      <c r="DE120" s="584"/>
    </row>
    <row r="121" spans="1:109" s="2" customFormat="1" ht="23.25" customHeight="1">
      <c r="A121" s="619" t="s">
        <v>1258</v>
      </c>
      <c r="B121" s="620"/>
      <c r="C121" s="620"/>
      <c r="D121" s="620"/>
      <c r="E121" s="620"/>
      <c r="F121" s="620"/>
      <c r="G121" s="620"/>
      <c r="H121" s="620"/>
      <c r="I121" s="620"/>
      <c r="J121" s="620"/>
      <c r="K121" s="620"/>
      <c r="L121" s="620"/>
      <c r="M121" s="620"/>
      <c r="N121" s="620"/>
      <c r="O121" s="621"/>
      <c r="P121" s="622" t="s">
        <v>1253</v>
      </c>
      <c r="Q121" s="620"/>
      <c r="R121" s="620"/>
      <c r="S121" s="620"/>
      <c r="T121" s="620"/>
      <c r="U121" s="620"/>
      <c r="V121" s="620"/>
      <c r="W121" s="620"/>
      <c r="X121" s="620"/>
      <c r="Y121" s="620"/>
      <c r="Z121" s="620"/>
      <c r="AA121" s="620"/>
      <c r="AB121" s="620"/>
      <c r="AC121" s="621"/>
      <c r="AD121" s="414"/>
      <c r="AE121" s="415"/>
      <c r="AF121" s="416"/>
      <c r="AG121" s="613">
        <v>1</v>
      </c>
      <c r="AH121" s="614"/>
      <c r="AI121" s="614"/>
      <c r="AJ121" s="615"/>
      <c r="AK121" s="623">
        <f>370.77*30.41</f>
        <v>11275.1157</v>
      </c>
      <c r="AL121" s="624"/>
      <c r="AM121" s="624"/>
      <c r="AN121" s="624"/>
      <c r="AO121" s="624"/>
      <c r="AP121" s="625"/>
      <c r="AQ121" s="583">
        <f t="shared" si="11"/>
        <v>135301.3884</v>
      </c>
      <c r="AR121" s="583"/>
      <c r="AS121" s="583"/>
      <c r="AT121" s="583"/>
      <c r="AU121" s="583"/>
      <c r="AV121" s="583"/>
      <c r="AW121" s="583"/>
      <c r="AX121" s="583"/>
      <c r="AY121" s="411"/>
      <c r="AZ121" s="412"/>
      <c r="BA121" s="412"/>
      <c r="BB121" s="412"/>
      <c r="BC121" s="412"/>
      <c r="BD121" s="412"/>
      <c r="BE121" s="412"/>
      <c r="BF121" s="413"/>
      <c r="BG121" s="588">
        <f>370.77*10</f>
        <v>3707.7</v>
      </c>
      <c r="BH121" s="589"/>
      <c r="BI121" s="589"/>
      <c r="BJ121" s="589"/>
      <c r="BK121" s="589"/>
      <c r="BL121" s="589"/>
      <c r="BM121" s="589"/>
      <c r="BN121" s="590"/>
      <c r="BO121" s="579">
        <f t="shared" si="9"/>
        <v>18534.436767123287</v>
      </c>
      <c r="BP121" s="580"/>
      <c r="BQ121" s="580"/>
      <c r="BR121" s="580"/>
      <c r="BS121" s="580"/>
      <c r="BT121" s="580"/>
      <c r="BU121" s="580"/>
      <c r="BV121" s="581"/>
      <c r="BW121" s="417"/>
      <c r="BX121" s="418"/>
      <c r="BY121" s="418"/>
      <c r="BZ121" s="418"/>
      <c r="CA121" s="418"/>
      <c r="CB121" s="418"/>
      <c r="CC121" s="418"/>
      <c r="CD121" s="419"/>
      <c r="CE121" s="417"/>
      <c r="CF121" s="418"/>
      <c r="CG121" s="418"/>
      <c r="CH121" s="418"/>
      <c r="CI121" s="418"/>
      <c r="CJ121" s="418"/>
      <c r="CK121" s="418"/>
      <c r="CL121" s="418"/>
      <c r="CM121" s="419"/>
      <c r="CN121" s="582">
        <f t="shared" si="12"/>
        <v>9600</v>
      </c>
      <c r="CO121" s="582"/>
      <c r="CP121" s="582"/>
      <c r="CQ121" s="582"/>
      <c r="CR121" s="582"/>
      <c r="CS121" s="582"/>
      <c r="CT121" s="582"/>
      <c r="CU121" s="582"/>
      <c r="CV121" s="583">
        <f t="shared" si="10"/>
        <v>167143.5251671233</v>
      </c>
      <c r="CW121" s="583"/>
      <c r="CX121" s="583"/>
      <c r="CY121" s="583"/>
      <c r="CZ121" s="583"/>
      <c r="DA121" s="583"/>
      <c r="DB121" s="583"/>
      <c r="DC121" s="583"/>
      <c r="DD121" s="583"/>
      <c r="DE121" s="584"/>
    </row>
    <row r="122" spans="1:109" s="2" customFormat="1" ht="23.25" customHeight="1">
      <c r="A122" s="619" t="s">
        <v>1259</v>
      </c>
      <c r="B122" s="620"/>
      <c r="C122" s="620"/>
      <c r="D122" s="620"/>
      <c r="E122" s="620"/>
      <c r="F122" s="620"/>
      <c r="G122" s="620"/>
      <c r="H122" s="620"/>
      <c r="I122" s="620"/>
      <c r="J122" s="620"/>
      <c r="K122" s="620"/>
      <c r="L122" s="620"/>
      <c r="M122" s="620"/>
      <c r="N122" s="620"/>
      <c r="O122" s="621"/>
      <c r="P122" s="622" t="s">
        <v>1253</v>
      </c>
      <c r="Q122" s="620"/>
      <c r="R122" s="620"/>
      <c r="S122" s="620"/>
      <c r="T122" s="620"/>
      <c r="U122" s="620"/>
      <c r="V122" s="620"/>
      <c r="W122" s="620"/>
      <c r="X122" s="620"/>
      <c r="Y122" s="620"/>
      <c r="Z122" s="620"/>
      <c r="AA122" s="620"/>
      <c r="AB122" s="620"/>
      <c r="AC122" s="621"/>
      <c r="AD122" s="414"/>
      <c r="AE122" s="415"/>
      <c r="AF122" s="416"/>
      <c r="AG122" s="613">
        <v>1</v>
      </c>
      <c r="AH122" s="614"/>
      <c r="AI122" s="614"/>
      <c r="AJ122" s="615"/>
      <c r="AK122" s="623">
        <f>296.57*30.41</f>
        <v>9018.6936999999998</v>
      </c>
      <c r="AL122" s="624"/>
      <c r="AM122" s="624"/>
      <c r="AN122" s="624"/>
      <c r="AO122" s="624"/>
      <c r="AP122" s="625"/>
      <c r="AQ122" s="583">
        <f t="shared" si="11"/>
        <v>108224.3244</v>
      </c>
      <c r="AR122" s="583"/>
      <c r="AS122" s="583"/>
      <c r="AT122" s="583"/>
      <c r="AU122" s="583"/>
      <c r="AV122" s="583"/>
      <c r="AW122" s="583"/>
      <c r="AX122" s="583"/>
      <c r="AY122" s="411"/>
      <c r="AZ122" s="412"/>
      <c r="BA122" s="412"/>
      <c r="BB122" s="412"/>
      <c r="BC122" s="412"/>
      <c r="BD122" s="412"/>
      <c r="BE122" s="412"/>
      <c r="BF122" s="413"/>
      <c r="BG122" s="588">
        <f>296.54*10</f>
        <v>2965.4</v>
      </c>
      <c r="BH122" s="589"/>
      <c r="BI122" s="589"/>
      <c r="BJ122" s="589"/>
      <c r="BK122" s="589"/>
      <c r="BL122" s="589"/>
      <c r="BM122" s="589"/>
      <c r="BN122" s="590"/>
      <c r="BO122" s="579">
        <f t="shared" si="9"/>
        <v>14825.249917808218</v>
      </c>
      <c r="BP122" s="580"/>
      <c r="BQ122" s="580"/>
      <c r="BR122" s="580"/>
      <c r="BS122" s="580"/>
      <c r="BT122" s="580"/>
      <c r="BU122" s="580"/>
      <c r="BV122" s="581"/>
      <c r="BW122" s="417"/>
      <c r="BX122" s="418"/>
      <c r="BY122" s="418"/>
      <c r="BZ122" s="418"/>
      <c r="CA122" s="418"/>
      <c r="CB122" s="418"/>
      <c r="CC122" s="418"/>
      <c r="CD122" s="419"/>
      <c r="CE122" s="417"/>
      <c r="CF122" s="418"/>
      <c r="CG122" s="418"/>
      <c r="CH122" s="418"/>
      <c r="CI122" s="418"/>
      <c r="CJ122" s="418"/>
      <c r="CK122" s="418"/>
      <c r="CL122" s="418"/>
      <c r="CM122" s="419"/>
      <c r="CN122" s="582">
        <f t="shared" si="12"/>
        <v>9600</v>
      </c>
      <c r="CO122" s="582"/>
      <c r="CP122" s="582"/>
      <c r="CQ122" s="582"/>
      <c r="CR122" s="582"/>
      <c r="CS122" s="582"/>
      <c r="CT122" s="582"/>
      <c r="CU122" s="582"/>
      <c r="CV122" s="583">
        <f t="shared" si="10"/>
        <v>135614.97431780823</v>
      </c>
      <c r="CW122" s="583"/>
      <c r="CX122" s="583"/>
      <c r="CY122" s="583"/>
      <c r="CZ122" s="583"/>
      <c r="DA122" s="583"/>
      <c r="DB122" s="583"/>
      <c r="DC122" s="583"/>
      <c r="DD122" s="583"/>
      <c r="DE122" s="584"/>
    </row>
    <row r="123" spans="1:109" s="2" customFormat="1" ht="23.25" customHeight="1">
      <c r="A123" s="612" t="s">
        <v>1260</v>
      </c>
      <c r="B123" s="601"/>
      <c r="C123" s="601"/>
      <c r="D123" s="601"/>
      <c r="E123" s="601"/>
      <c r="F123" s="601"/>
      <c r="G123" s="601"/>
      <c r="H123" s="601"/>
      <c r="I123" s="601"/>
      <c r="J123" s="601"/>
      <c r="K123" s="601"/>
      <c r="L123" s="601"/>
      <c r="M123" s="601"/>
      <c r="N123" s="601"/>
      <c r="O123" s="602"/>
      <c r="P123" s="600" t="s">
        <v>1261</v>
      </c>
      <c r="Q123" s="601"/>
      <c r="R123" s="601"/>
      <c r="S123" s="601"/>
      <c r="T123" s="601"/>
      <c r="U123" s="601"/>
      <c r="V123" s="601"/>
      <c r="W123" s="601"/>
      <c r="X123" s="601"/>
      <c r="Y123" s="601"/>
      <c r="Z123" s="601"/>
      <c r="AA123" s="601"/>
      <c r="AB123" s="601"/>
      <c r="AC123" s="602"/>
      <c r="AD123" s="414"/>
      <c r="AE123" s="415"/>
      <c r="AF123" s="416"/>
      <c r="AG123" s="613">
        <v>1</v>
      </c>
      <c r="AH123" s="614"/>
      <c r="AI123" s="614"/>
      <c r="AJ123" s="615"/>
      <c r="AK123" s="585">
        <f>296.54*30.41</f>
        <v>9017.7813999999998</v>
      </c>
      <c r="AL123" s="586"/>
      <c r="AM123" s="586"/>
      <c r="AN123" s="586"/>
      <c r="AO123" s="586"/>
      <c r="AP123" s="587"/>
      <c r="AQ123" s="583">
        <f t="shared" si="11"/>
        <v>108213.3768</v>
      </c>
      <c r="AR123" s="583"/>
      <c r="AS123" s="583"/>
      <c r="AT123" s="583"/>
      <c r="AU123" s="583"/>
      <c r="AV123" s="583"/>
      <c r="AW123" s="583"/>
      <c r="AX123" s="583"/>
      <c r="AY123" s="411"/>
      <c r="AZ123" s="412"/>
      <c r="BA123" s="412"/>
      <c r="BB123" s="412"/>
      <c r="BC123" s="412"/>
      <c r="BD123" s="412"/>
      <c r="BE123" s="412"/>
      <c r="BF123" s="413"/>
      <c r="BG123" s="588">
        <f t="shared" ref="BG123" si="14">296.54*10</f>
        <v>2965.4</v>
      </c>
      <c r="BH123" s="589"/>
      <c r="BI123" s="589"/>
      <c r="BJ123" s="589"/>
      <c r="BK123" s="589"/>
      <c r="BL123" s="589"/>
      <c r="BM123" s="589"/>
      <c r="BN123" s="590"/>
      <c r="BO123" s="579">
        <f t="shared" si="9"/>
        <v>14823.75024657534</v>
      </c>
      <c r="BP123" s="580"/>
      <c r="BQ123" s="580"/>
      <c r="BR123" s="580"/>
      <c r="BS123" s="580"/>
      <c r="BT123" s="580"/>
      <c r="BU123" s="580"/>
      <c r="BV123" s="581"/>
      <c r="BW123" s="420"/>
      <c r="BX123" s="421"/>
      <c r="BY123" s="421"/>
      <c r="BZ123" s="421"/>
      <c r="CA123" s="421"/>
      <c r="CB123" s="421"/>
      <c r="CC123" s="421"/>
      <c r="CD123" s="422"/>
      <c r="CE123" s="420"/>
      <c r="CF123" s="421"/>
      <c r="CG123" s="421"/>
      <c r="CH123" s="421"/>
      <c r="CI123" s="421"/>
      <c r="CJ123" s="421"/>
      <c r="CK123" s="421"/>
      <c r="CL123" s="421"/>
      <c r="CM123" s="422"/>
      <c r="CN123" s="582">
        <f t="shared" si="12"/>
        <v>9600</v>
      </c>
      <c r="CO123" s="582"/>
      <c r="CP123" s="582"/>
      <c r="CQ123" s="582"/>
      <c r="CR123" s="582"/>
      <c r="CS123" s="582"/>
      <c r="CT123" s="582"/>
      <c r="CU123" s="582"/>
      <c r="CV123" s="583">
        <f t="shared" si="10"/>
        <v>135602.52704657533</v>
      </c>
      <c r="CW123" s="583"/>
      <c r="CX123" s="583"/>
      <c r="CY123" s="583"/>
      <c r="CZ123" s="583"/>
      <c r="DA123" s="583"/>
      <c r="DB123" s="583"/>
      <c r="DC123" s="583"/>
      <c r="DD123" s="583"/>
      <c r="DE123" s="584"/>
    </row>
    <row r="124" spans="1:109" s="2" customFormat="1" ht="23.25" customHeight="1">
      <c r="A124" s="612" t="s">
        <v>1262</v>
      </c>
      <c r="B124" s="601"/>
      <c r="C124" s="601"/>
      <c r="D124" s="601"/>
      <c r="E124" s="601"/>
      <c r="F124" s="601"/>
      <c r="G124" s="601"/>
      <c r="H124" s="601"/>
      <c r="I124" s="601"/>
      <c r="J124" s="601"/>
      <c r="K124" s="601"/>
      <c r="L124" s="601"/>
      <c r="M124" s="601"/>
      <c r="N124" s="601"/>
      <c r="O124" s="602"/>
      <c r="P124" s="600" t="s">
        <v>1261</v>
      </c>
      <c r="Q124" s="601"/>
      <c r="R124" s="601"/>
      <c r="S124" s="601"/>
      <c r="T124" s="601"/>
      <c r="U124" s="601"/>
      <c r="V124" s="601"/>
      <c r="W124" s="601"/>
      <c r="X124" s="601"/>
      <c r="Y124" s="601"/>
      <c r="Z124" s="601"/>
      <c r="AA124" s="601"/>
      <c r="AB124" s="601"/>
      <c r="AC124" s="602"/>
      <c r="AD124" s="414"/>
      <c r="AE124" s="415"/>
      <c r="AF124" s="416"/>
      <c r="AG124" s="613">
        <v>1</v>
      </c>
      <c r="AH124" s="614"/>
      <c r="AI124" s="614"/>
      <c r="AJ124" s="615"/>
      <c r="AK124" s="585">
        <f>250.29*30.41</f>
        <v>7611.3189000000002</v>
      </c>
      <c r="AL124" s="586"/>
      <c r="AM124" s="586"/>
      <c r="AN124" s="586"/>
      <c r="AO124" s="586"/>
      <c r="AP124" s="587"/>
      <c r="AQ124" s="583">
        <f t="shared" si="11"/>
        <v>91335.82680000001</v>
      </c>
      <c r="AR124" s="583"/>
      <c r="AS124" s="583"/>
      <c r="AT124" s="583"/>
      <c r="AU124" s="583"/>
      <c r="AV124" s="583"/>
      <c r="AW124" s="583"/>
      <c r="AX124" s="583"/>
      <c r="AY124" s="411"/>
      <c r="AZ124" s="412"/>
      <c r="BA124" s="412"/>
      <c r="BB124" s="412"/>
      <c r="BC124" s="412"/>
      <c r="BD124" s="412"/>
      <c r="BE124" s="412"/>
      <c r="BF124" s="413"/>
      <c r="BG124" s="588">
        <f>250.29*10</f>
        <v>2502.9</v>
      </c>
      <c r="BH124" s="589"/>
      <c r="BI124" s="589"/>
      <c r="BJ124" s="589"/>
      <c r="BK124" s="589"/>
      <c r="BL124" s="589"/>
      <c r="BM124" s="589"/>
      <c r="BN124" s="590"/>
      <c r="BO124" s="579">
        <f t="shared" si="9"/>
        <v>12511.757095890413</v>
      </c>
      <c r="BP124" s="580"/>
      <c r="BQ124" s="580"/>
      <c r="BR124" s="580"/>
      <c r="BS124" s="580"/>
      <c r="BT124" s="580"/>
      <c r="BU124" s="580"/>
      <c r="BV124" s="581"/>
      <c r="BW124" s="420"/>
      <c r="BX124" s="421"/>
      <c r="BY124" s="421"/>
      <c r="BZ124" s="421"/>
      <c r="CA124" s="421"/>
      <c r="CB124" s="421"/>
      <c r="CC124" s="421"/>
      <c r="CD124" s="422"/>
      <c r="CE124" s="420"/>
      <c r="CF124" s="421"/>
      <c r="CG124" s="421"/>
      <c r="CH124" s="421"/>
      <c r="CI124" s="421"/>
      <c r="CJ124" s="421"/>
      <c r="CK124" s="421"/>
      <c r="CL124" s="421"/>
      <c r="CM124" s="422"/>
      <c r="CN124" s="582">
        <f t="shared" si="12"/>
        <v>9600</v>
      </c>
      <c r="CO124" s="582"/>
      <c r="CP124" s="582"/>
      <c r="CQ124" s="582"/>
      <c r="CR124" s="582"/>
      <c r="CS124" s="582"/>
      <c r="CT124" s="582"/>
      <c r="CU124" s="582"/>
      <c r="CV124" s="583">
        <f t="shared" si="10"/>
        <v>115950.48389589041</v>
      </c>
      <c r="CW124" s="583"/>
      <c r="CX124" s="583"/>
      <c r="CY124" s="583"/>
      <c r="CZ124" s="583"/>
      <c r="DA124" s="583"/>
      <c r="DB124" s="583"/>
      <c r="DC124" s="583"/>
      <c r="DD124" s="583"/>
      <c r="DE124" s="584"/>
    </row>
    <row r="125" spans="1:109" s="2" customFormat="1" ht="23.25" customHeight="1">
      <c r="A125" s="612" t="s">
        <v>1263</v>
      </c>
      <c r="B125" s="601"/>
      <c r="C125" s="601"/>
      <c r="D125" s="601"/>
      <c r="E125" s="601"/>
      <c r="F125" s="601"/>
      <c r="G125" s="601"/>
      <c r="H125" s="601"/>
      <c r="I125" s="601"/>
      <c r="J125" s="601"/>
      <c r="K125" s="601"/>
      <c r="L125" s="601"/>
      <c r="M125" s="601"/>
      <c r="N125" s="601"/>
      <c r="O125" s="602"/>
      <c r="P125" s="600" t="s">
        <v>1261</v>
      </c>
      <c r="Q125" s="601"/>
      <c r="R125" s="601"/>
      <c r="S125" s="601"/>
      <c r="T125" s="601"/>
      <c r="U125" s="601"/>
      <c r="V125" s="601"/>
      <c r="W125" s="601"/>
      <c r="X125" s="601"/>
      <c r="Y125" s="601"/>
      <c r="Z125" s="601"/>
      <c r="AA125" s="601"/>
      <c r="AB125" s="601"/>
      <c r="AC125" s="602"/>
      <c r="AD125" s="414"/>
      <c r="AE125" s="415"/>
      <c r="AF125" s="416"/>
      <c r="AG125" s="613">
        <v>1</v>
      </c>
      <c r="AH125" s="614"/>
      <c r="AI125" s="614"/>
      <c r="AJ125" s="615"/>
      <c r="AK125" s="585">
        <f>250.29*30.41</f>
        <v>7611.3189000000002</v>
      </c>
      <c r="AL125" s="586"/>
      <c r="AM125" s="586"/>
      <c r="AN125" s="586"/>
      <c r="AO125" s="586"/>
      <c r="AP125" s="587"/>
      <c r="AQ125" s="583">
        <f t="shared" si="11"/>
        <v>91335.82680000001</v>
      </c>
      <c r="AR125" s="583"/>
      <c r="AS125" s="583"/>
      <c r="AT125" s="583"/>
      <c r="AU125" s="583"/>
      <c r="AV125" s="583"/>
      <c r="AW125" s="583"/>
      <c r="AX125" s="583"/>
      <c r="AY125" s="411"/>
      <c r="AZ125" s="412"/>
      <c r="BA125" s="412"/>
      <c r="BB125" s="412"/>
      <c r="BC125" s="412"/>
      <c r="BD125" s="412"/>
      <c r="BE125" s="412"/>
      <c r="BF125" s="413"/>
      <c r="BG125" s="588">
        <f>250.29*10</f>
        <v>2502.9</v>
      </c>
      <c r="BH125" s="589"/>
      <c r="BI125" s="589"/>
      <c r="BJ125" s="589"/>
      <c r="BK125" s="589"/>
      <c r="BL125" s="589"/>
      <c r="BM125" s="589"/>
      <c r="BN125" s="590"/>
      <c r="BO125" s="579">
        <f t="shared" si="9"/>
        <v>12511.757095890413</v>
      </c>
      <c r="BP125" s="580"/>
      <c r="BQ125" s="580"/>
      <c r="BR125" s="580"/>
      <c r="BS125" s="580"/>
      <c r="BT125" s="580"/>
      <c r="BU125" s="580"/>
      <c r="BV125" s="581"/>
      <c r="BW125" s="420"/>
      <c r="BX125" s="421"/>
      <c r="BY125" s="421"/>
      <c r="BZ125" s="421"/>
      <c r="CA125" s="421"/>
      <c r="CB125" s="421"/>
      <c r="CC125" s="421"/>
      <c r="CD125" s="422"/>
      <c r="CE125" s="420"/>
      <c r="CF125" s="421"/>
      <c r="CG125" s="421"/>
      <c r="CH125" s="421"/>
      <c r="CI125" s="421"/>
      <c r="CJ125" s="421"/>
      <c r="CK125" s="421"/>
      <c r="CL125" s="421"/>
      <c r="CM125" s="422"/>
      <c r="CN125" s="582">
        <f t="shared" si="12"/>
        <v>9600</v>
      </c>
      <c r="CO125" s="582"/>
      <c r="CP125" s="582"/>
      <c r="CQ125" s="582"/>
      <c r="CR125" s="582"/>
      <c r="CS125" s="582"/>
      <c r="CT125" s="582"/>
      <c r="CU125" s="582"/>
      <c r="CV125" s="583">
        <f t="shared" si="10"/>
        <v>115950.48389589041</v>
      </c>
      <c r="CW125" s="583"/>
      <c r="CX125" s="583"/>
      <c r="CY125" s="583"/>
      <c r="CZ125" s="583"/>
      <c r="DA125" s="583"/>
      <c r="DB125" s="583"/>
      <c r="DC125" s="583"/>
      <c r="DD125" s="583"/>
      <c r="DE125" s="584"/>
    </row>
    <row r="126" spans="1:109" s="2" customFormat="1" ht="23.25" customHeight="1">
      <c r="A126" s="612" t="s">
        <v>1217</v>
      </c>
      <c r="B126" s="601"/>
      <c r="C126" s="601"/>
      <c r="D126" s="601"/>
      <c r="E126" s="601"/>
      <c r="F126" s="601"/>
      <c r="G126" s="601"/>
      <c r="H126" s="601"/>
      <c r="I126" s="601"/>
      <c r="J126" s="601"/>
      <c r="K126" s="601"/>
      <c r="L126" s="601"/>
      <c r="M126" s="601"/>
      <c r="N126" s="601"/>
      <c r="O126" s="602"/>
      <c r="P126" s="600" t="s">
        <v>1261</v>
      </c>
      <c r="Q126" s="601"/>
      <c r="R126" s="601"/>
      <c r="S126" s="601"/>
      <c r="T126" s="601"/>
      <c r="U126" s="601"/>
      <c r="V126" s="601"/>
      <c r="W126" s="601"/>
      <c r="X126" s="601"/>
      <c r="Y126" s="601"/>
      <c r="Z126" s="601"/>
      <c r="AA126" s="601"/>
      <c r="AB126" s="601"/>
      <c r="AC126" s="602"/>
      <c r="AD126" s="414"/>
      <c r="AE126" s="415"/>
      <c r="AF126" s="416"/>
      <c r="AG126" s="613">
        <v>2</v>
      </c>
      <c r="AH126" s="614"/>
      <c r="AI126" s="614"/>
      <c r="AJ126" s="615"/>
      <c r="AK126" s="585">
        <f>203.32*30.41</f>
        <v>6182.9611999999997</v>
      </c>
      <c r="AL126" s="586"/>
      <c r="AM126" s="586"/>
      <c r="AN126" s="586"/>
      <c r="AO126" s="586"/>
      <c r="AP126" s="587"/>
      <c r="AQ126" s="583">
        <f t="shared" si="11"/>
        <v>148391.06880000001</v>
      </c>
      <c r="AR126" s="583"/>
      <c r="AS126" s="583"/>
      <c r="AT126" s="583"/>
      <c r="AU126" s="583"/>
      <c r="AV126" s="583"/>
      <c r="AW126" s="583"/>
      <c r="AX126" s="583"/>
      <c r="AY126" s="411"/>
      <c r="AZ126" s="412"/>
      <c r="BA126" s="412"/>
      <c r="BB126" s="412"/>
      <c r="BC126" s="412"/>
      <c r="BD126" s="412"/>
      <c r="BE126" s="412"/>
      <c r="BF126" s="413"/>
      <c r="BG126" s="588">
        <f>203.32*10</f>
        <v>2033.1999999999998</v>
      </c>
      <c r="BH126" s="589"/>
      <c r="BI126" s="589"/>
      <c r="BJ126" s="589"/>
      <c r="BK126" s="589"/>
      <c r="BL126" s="589"/>
      <c r="BM126" s="589"/>
      <c r="BN126" s="590"/>
      <c r="BO126" s="579">
        <f t="shared" si="9"/>
        <v>20327.543671232877</v>
      </c>
      <c r="BP126" s="580"/>
      <c r="BQ126" s="580"/>
      <c r="BR126" s="580"/>
      <c r="BS126" s="580"/>
      <c r="BT126" s="580"/>
      <c r="BU126" s="580"/>
      <c r="BV126" s="581"/>
      <c r="BW126" s="420"/>
      <c r="BX126" s="421"/>
      <c r="BY126" s="421"/>
      <c r="BZ126" s="421"/>
      <c r="CA126" s="421"/>
      <c r="CB126" s="421"/>
      <c r="CC126" s="421"/>
      <c r="CD126" s="422"/>
      <c r="CE126" s="420"/>
      <c r="CF126" s="421"/>
      <c r="CG126" s="421"/>
      <c r="CH126" s="421"/>
      <c r="CI126" s="421"/>
      <c r="CJ126" s="421"/>
      <c r="CK126" s="421"/>
      <c r="CL126" s="421"/>
      <c r="CM126" s="422"/>
      <c r="CN126" s="582">
        <f t="shared" si="12"/>
        <v>9600</v>
      </c>
      <c r="CO126" s="582"/>
      <c r="CP126" s="582"/>
      <c r="CQ126" s="582"/>
      <c r="CR126" s="582"/>
      <c r="CS126" s="582"/>
      <c r="CT126" s="582"/>
      <c r="CU126" s="582"/>
      <c r="CV126" s="583">
        <f t="shared" si="10"/>
        <v>180351.8124712329</v>
      </c>
      <c r="CW126" s="583"/>
      <c r="CX126" s="583"/>
      <c r="CY126" s="583"/>
      <c r="CZ126" s="583"/>
      <c r="DA126" s="583"/>
      <c r="DB126" s="583"/>
      <c r="DC126" s="583"/>
      <c r="DD126" s="583"/>
      <c r="DE126" s="584"/>
    </row>
    <row r="127" spans="1:109" s="2" customFormat="1" ht="23.25" customHeight="1">
      <c r="A127" s="612" t="s">
        <v>1260</v>
      </c>
      <c r="B127" s="601"/>
      <c r="C127" s="601"/>
      <c r="D127" s="601"/>
      <c r="E127" s="601"/>
      <c r="F127" s="601"/>
      <c r="G127" s="601"/>
      <c r="H127" s="601"/>
      <c r="I127" s="601"/>
      <c r="J127" s="601"/>
      <c r="K127" s="601"/>
      <c r="L127" s="601"/>
      <c r="M127" s="601"/>
      <c r="N127" s="601"/>
      <c r="O127" s="602"/>
      <c r="P127" s="600" t="s">
        <v>1264</v>
      </c>
      <c r="Q127" s="601"/>
      <c r="R127" s="601"/>
      <c r="S127" s="601"/>
      <c r="T127" s="601"/>
      <c r="U127" s="601"/>
      <c r="V127" s="601"/>
      <c r="W127" s="601"/>
      <c r="X127" s="601"/>
      <c r="Y127" s="601"/>
      <c r="Z127" s="601"/>
      <c r="AA127" s="601"/>
      <c r="AB127" s="601"/>
      <c r="AC127" s="602"/>
      <c r="AD127" s="414"/>
      <c r="AE127" s="415"/>
      <c r="AF127" s="416"/>
      <c r="AG127" s="613">
        <v>1</v>
      </c>
      <c r="AH127" s="614"/>
      <c r="AI127" s="614"/>
      <c r="AJ127" s="615"/>
      <c r="AK127" s="585">
        <f>296.54*30.41</f>
        <v>9017.7813999999998</v>
      </c>
      <c r="AL127" s="586"/>
      <c r="AM127" s="586"/>
      <c r="AN127" s="586"/>
      <c r="AO127" s="586"/>
      <c r="AP127" s="587"/>
      <c r="AQ127" s="583">
        <f t="shared" si="11"/>
        <v>108213.3768</v>
      </c>
      <c r="AR127" s="583"/>
      <c r="AS127" s="583"/>
      <c r="AT127" s="583"/>
      <c r="AU127" s="583"/>
      <c r="AV127" s="583"/>
      <c r="AW127" s="583"/>
      <c r="AX127" s="583"/>
      <c r="AY127" s="411"/>
      <c r="AZ127" s="412"/>
      <c r="BA127" s="412"/>
      <c r="BB127" s="412"/>
      <c r="BC127" s="412"/>
      <c r="BD127" s="412"/>
      <c r="BE127" s="412"/>
      <c r="BF127" s="413"/>
      <c r="BG127" s="588">
        <f>296.54*10</f>
        <v>2965.4</v>
      </c>
      <c r="BH127" s="589"/>
      <c r="BI127" s="589"/>
      <c r="BJ127" s="589"/>
      <c r="BK127" s="589"/>
      <c r="BL127" s="589"/>
      <c r="BM127" s="589"/>
      <c r="BN127" s="590"/>
      <c r="BO127" s="579">
        <f t="shared" si="9"/>
        <v>14823.75024657534</v>
      </c>
      <c r="BP127" s="580"/>
      <c r="BQ127" s="580"/>
      <c r="BR127" s="580"/>
      <c r="BS127" s="580"/>
      <c r="BT127" s="580"/>
      <c r="BU127" s="580"/>
      <c r="BV127" s="581"/>
      <c r="BW127" s="420"/>
      <c r="BX127" s="421"/>
      <c r="BY127" s="421"/>
      <c r="BZ127" s="421"/>
      <c r="CA127" s="421"/>
      <c r="CB127" s="421"/>
      <c r="CC127" s="421"/>
      <c r="CD127" s="422"/>
      <c r="CE127" s="420"/>
      <c r="CF127" s="421"/>
      <c r="CG127" s="421"/>
      <c r="CH127" s="421"/>
      <c r="CI127" s="421"/>
      <c r="CJ127" s="421"/>
      <c r="CK127" s="421"/>
      <c r="CL127" s="421"/>
      <c r="CM127" s="422"/>
      <c r="CN127" s="582">
        <f t="shared" si="12"/>
        <v>9600</v>
      </c>
      <c r="CO127" s="582"/>
      <c r="CP127" s="582"/>
      <c r="CQ127" s="582"/>
      <c r="CR127" s="582"/>
      <c r="CS127" s="582"/>
      <c r="CT127" s="582"/>
      <c r="CU127" s="582"/>
      <c r="CV127" s="583">
        <f t="shared" si="10"/>
        <v>135602.52704657533</v>
      </c>
      <c r="CW127" s="583"/>
      <c r="CX127" s="583"/>
      <c r="CY127" s="583"/>
      <c r="CZ127" s="583"/>
      <c r="DA127" s="583"/>
      <c r="DB127" s="583"/>
      <c r="DC127" s="583"/>
      <c r="DD127" s="583"/>
      <c r="DE127" s="584"/>
    </row>
    <row r="128" spans="1:109" s="2" customFormat="1" ht="23.25" customHeight="1">
      <c r="A128" s="612" t="s">
        <v>1159</v>
      </c>
      <c r="B128" s="601"/>
      <c r="C128" s="601"/>
      <c r="D128" s="601"/>
      <c r="E128" s="601"/>
      <c r="F128" s="601"/>
      <c r="G128" s="601"/>
      <c r="H128" s="601"/>
      <c r="I128" s="601"/>
      <c r="J128" s="601"/>
      <c r="K128" s="601"/>
      <c r="L128" s="601"/>
      <c r="M128" s="601"/>
      <c r="N128" s="601"/>
      <c r="O128" s="602"/>
      <c r="P128" s="600" t="s">
        <v>1264</v>
      </c>
      <c r="Q128" s="601"/>
      <c r="R128" s="601"/>
      <c r="S128" s="601"/>
      <c r="T128" s="601"/>
      <c r="U128" s="601"/>
      <c r="V128" s="601"/>
      <c r="W128" s="601"/>
      <c r="X128" s="601"/>
      <c r="Y128" s="601"/>
      <c r="Z128" s="601"/>
      <c r="AA128" s="601"/>
      <c r="AB128" s="601"/>
      <c r="AC128" s="602"/>
      <c r="AD128" s="414"/>
      <c r="AE128" s="415"/>
      <c r="AF128" s="416"/>
      <c r="AG128" s="613">
        <v>1</v>
      </c>
      <c r="AH128" s="614"/>
      <c r="AI128" s="614"/>
      <c r="AJ128" s="615"/>
      <c r="AK128" s="585">
        <f>165.05*30.41</f>
        <v>5019.1705000000002</v>
      </c>
      <c r="AL128" s="586"/>
      <c r="AM128" s="586"/>
      <c r="AN128" s="586"/>
      <c r="AO128" s="586"/>
      <c r="AP128" s="587"/>
      <c r="AQ128" s="583">
        <f t="shared" si="11"/>
        <v>60230.046000000002</v>
      </c>
      <c r="AR128" s="583"/>
      <c r="AS128" s="583"/>
      <c r="AT128" s="583"/>
      <c r="AU128" s="583"/>
      <c r="AV128" s="583"/>
      <c r="AW128" s="583"/>
      <c r="AX128" s="583"/>
      <c r="AY128" s="411"/>
      <c r="AZ128" s="412"/>
      <c r="BA128" s="412"/>
      <c r="BB128" s="412"/>
      <c r="BC128" s="412"/>
      <c r="BD128" s="412"/>
      <c r="BE128" s="412"/>
      <c r="BF128" s="413"/>
      <c r="BG128" s="588">
        <f>165.05*10</f>
        <v>1650.5</v>
      </c>
      <c r="BH128" s="589"/>
      <c r="BI128" s="589"/>
      <c r="BJ128" s="589"/>
      <c r="BK128" s="589"/>
      <c r="BL128" s="589"/>
      <c r="BM128" s="589"/>
      <c r="BN128" s="590"/>
      <c r="BO128" s="579">
        <f t="shared" si="9"/>
        <v>8250.6912328767121</v>
      </c>
      <c r="BP128" s="580"/>
      <c r="BQ128" s="580"/>
      <c r="BR128" s="580"/>
      <c r="BS128" s="580"/>
      <c r="BT128" s="580"/>
      <c r="BU128" s="580"/>
      <c r="BV128" s="581"/>
      <c r="BW128" s="420"/>
      <c r="BX128" s="421"/>
      <c r="BY128" s="421"/>
      <c r="BZ128" s="421"/>
      <c r="CA128" s="421"/>
      <c r="CB128" s="421"/>
      <c r="CC128" s="421"/>
      <c r="CD128" s="422"/>
      <c r="CE128" s="420"/>
      <c r="CF128" s="421"/>
      <c r="CG128" s="421"/>
      <c r="CH128" s="421"/>
      <c r="CI128" s="421"/>
      <c r="CJ128" s="421"/>
      <c r="CK128" s="421"/>
      <c r="CL128" s="421"/>
      <c r="CM128" s="422"/>
      <c r="CN128" s="582">
        <f t="shared" si="12"/>
        <v>9600</v>
      </c>
      <c r="CO128" s="582"/>
      <c r="CP128" s="582"/>
      <c r="CQ128" s="582"/>
      <c r="CR128" s="582"/>
      <c r="CS128" s="582"/>
      <c r="CT128" s="582"/>
      <c r="CU128" s="582"/>
      <c r="CV128" s="583">
        <f t="shared" si="10"/>
        <v>79731.237232876709</v>
      </c>
      <c r="CW128" s="583"/>
      <c r="CX128" s="583"/>
      <c r="CY128" s="583"/>
      <c r="CZ128" s="583"/>
      <c r="DA128" s="583"/>
      <c r="DB128" s="583"/>
      <c r="DC128" s="583"/>
      <c r="DD128" s="583"/>
      <c r="DE128" s="584"/>
    </row>
    <row r="129" spans="1:109" s="2" customFormat="1" ht="23.25" customHeight="1">
      <c r="A129" s="612" t="s">
        <v>1260</v>
      </c>
      <c r="B129" s="601"/>
      <c r="C129" s="601"/>
      <c r="D129" s="601"/>
      <c r="E129" s="601"/>
      <c r="F129" s="601"/>
      <c r="G129" s="601"/>
      <c r="H129" s="601"/>
      <c r="I129" s="601"/>
      <c r="J129" s="601"/>
      <c r="K129" s="601"/>
      <c r="L129" s="601"/>
      <c r="M129" s="601"/>
      <c r="N129" s="601"/>
      <c r="O129" s="602"/>
      <c r="P129" s="600" t="s">
        <v>1265</v>
      </c>
      <c r="Q129" s="601"/>
      <c r="R129" s="601"/>
      <c r="S129" s="601"/>
      <c r="T129" s="601"/>
      <c r="U129" s="601"/>
      <c r="V129" s="601"/>
      <c r="W129" s="601"/>
      <c r="X129" s="601"/>
      <c r="Y129" s="601"/>
      <c r="Z129" s="601"/>
      <c r="AA129" s="601"/>
      <c r="AB129" s="601"/>
      <c r="AC129" s="602"/>
      <c r="AD129" s="414"/>
      <c r="AE129" s="415"/>
      <c r="AF129" s="416"/>
      <c r="AG129" s="613">
        <v>1</v>
      </c>
      <c r="AH129" s="614"/>
      <c r="AI129" s="614"/>
      <c r="AJ129" s="615"/>
      <c r="AK129" s="585">
        <f>296.54*30.41</f>
        <v>9017.7813999999998</v>
      </c>
      <c r="AL129" s="586"/>
      <c r="AM129" s="586"/>
      <c r="AN129" s="586"/>
      <c r="AO129" s="586"/>
      <c r="AP129" s="587"/>
      <c r="AQ129" s="583">
        <f t="shared" si="11"/>
        <v>108213.3768</v>
      </c>
      <c r="AR129" s="583"/>
      <c r="AS129" s="583"/>
      <c r="AT129" s="583"/>
      <c r="AU129" s="583"/>
      <c r="AV129" s="583"/>
      <c r="AW129" s="583"/>
      <c r="AX129" s="583"/>
      <c r="AY129" s="411"/>
      <c r="AZ129" s="412"/>
      <c r="BA129" s="412"/>
      <c r="BB129" s="412"/>
      <c r="BC129" s="412"/>
      <c r="BD129" s="412"/>
      <c r="BE129" s="412"/>
      <c r="BF129" s="413"/>
      <c r="BG129" s="588">
        <f>296.54*10</f>
        <v>2965.4</v>
      </c>
      <c r="BH129" s="589"/>
      <c r="BI129" s="589"/>
      <c r="BJ129" s="589"/>
      <c r="BK129" s="589"/>
      <c r="BL129" s="589"/>
      <c r="BM129" s="589"/>
      <c r="BN129" s="590"/>
      <c r="BO129" s="579">
        <f t="shared" si="9"/>
        <v>14823.75024657534</v>
      </c>
      <c r="BP129" s="580"/>
      <c r="BQ129" s="580"/>
      <c r="BR129" s="580"/>
      <c r="BS129" s="580"/>
      <c r="BT129" s="580"/>
      <c r="BU129" s="580"/>
      <c r="BV129" s="581"/>
      <c r="BW129" s="420"/>
      <c r="BX129" s="421"/>
      <c r="BY129" s="421"/>
      <c r="BZ129" s="421"/>
      <c r="CA129" s="421"/>
      <c r="CB129" s="421"/>
      <c r="CC129" s="421"/>
      <c r="CD129" s="422"/>
      <c r="CE129" s="420"/>
      <c r="CF129" s="421"/>
      <c r="CG129" s="421"/>
      <c r="CH129" s="421"/>
      <c r="CI129" s="421"/>
      <c r="CJ129" s="421"/>
      <c r="CK129" s="421"/>
      <c r="CL129" s="421"/>
      <c r="CM129" s="422"/>
      <c r="CN129" s="582">
        <f t="shared" si="12"/>
        <v>9600</v>
      </c>
      <c r="CO129" s="582"/>
      <c r="CP129" s="582"/>
      <c r="CQ129" s="582"/>
      <c r="CR129" s="582"/>
      <c r="CS129" s="582"/>
      <c r="CT129" s="582"/>
      <c r="CU129" s="582"/>
      <c r="CV129" s="583">
        <f t="shared" si="10"/>
        <v>135602.52704657533</v>
      </c>
      <c r="CW129" s="583"/>
      <c r="CX129" s="583"/>
      <c r="CY129" s="583"/>
      <c r="CZ129" s="583"/>
      <c r="DA129" s="583"/>
      <c r="DB129" s="583"/>
      <c r="DC129" s="583"/>
      <c r="DD129" s="583"/>
      <c r="DE129" s="584"/>
    </row>
    <row r="130" spans="1:109" s="2" customFormat="1" ht="23.25" customHeight="1">
      <c r="A130" s="612" t="s">
        <v>1159</v>
      </c>
      <c r="B130" s="601"/>
      <c r="C130" s="601"/>
      <c r="D130" s="601"/>
      <c r="E130" s="601"/>
      <c r="F130" s="601"/>
      <c r="G130" s="601"/>
      <c r="H130" s="601"/>
      <c r="I130" s="601"/>
      <c r="J130" s="601"/>
      <c r="K130" s="601"/>
      <c r="L130" s="601"/>
      <c r="M130" s="601"/>
      <c r="N130" s="601"/>
      <c r="O130" s="602"/>
      <c r="P130" s="600" t="s">
        <v>1265</v>
      </c>
      <c r="Q130" s="601"/>
      <c r="R130" s="601"/>
      <c r="S130" s="601"/>
      <c r="T130" s="601"/>
      <c r="U130" s="601"/>
      <c r="V130" s="601"/>
      <c r="W130" s="601"/>
      <c r="X130" s="601"/>
      <c r="Y130" s="601"/>
      <c r="Z130" s="601"/>
      <c r="AA130" s="601"/>
      <c r="AB130" s="601"/>
      <c r="AC130" s="602"/>
      <c r="AD130" s="414"/>
      <c r="AE130" s="415"/>
      <c r="AF130" s="416"/>
      <c r="AG130" s="613">
        <v>1</v>
      </c>
      <c r="AH130" s="614"/>
      <c r="AI130" s="614"/>
      <c r="AJ130" s="615"/>
      <c r="AK130" s="585">
        <f>250.29*30.41</f>
        <v>7611.3189000000002</v>
      </c>
      <c r="AL130" s="586"/>
      <c r="AM130" s="586"/>
      <c r="AN130" s="586"/>
      <c r="AO130" s="586"/>
      <c r="AP130" s="587"/>
      <c r="AQ130" s="583">
        <f t="shared" si="11"/>
        <v>91335.82680000001</v>
      </c>
      <c r="AR130" s="583"/>
      <c r="AS130" s="583"/>
      <c r="AT130" s="583"/>
      <c r="AU130" s="583"/>
      <c r="AV130" s="583"/>
      <c r="AW130" s="583"/>
      <c r="AX130" s="583"/>
      <c r="AY130" s="411"/>
      <c r="AZ130" s="412"/>
      <c r="BA130" s="412"/>
      <c r="BB130" s="412"/>
      <c r="BC130" s="412"/>
      <c r="BD130" s="412"/>
      <c r="BE130" s="412"/>
      <c r="BF130" s="413"/>
      <c r="BG130" s="588">
        <f>250.29*10</f>
        <v>2502.9</v>
      </c>
      <c r="BH130" s="589"/>
      <c r="BI130" s="589"/>
      <c r="BJ130" s="589"/>
      <c r="BK130" s="589"/>
      <c r="BL130" s="589"/>
      <c r="BM130" s="589"/>
      <c r="BN130" s="590"/>
      <c r="BO130" s="579">
        <f t="shared" si="9"/>
        <v>12511.757095890413</v>
      </c>
      <c r="BP130" s="580"/>
      <c r="BQ130" s="580"/>
      <c r="BR130" s="580"/>
      <c r="BS130" s="580"/>
      <c r="BT130" s="580"/>
      <c r="BU130" s="580"/>
      <c r="BV130" s="581"/>
      <c r="BW130" s="420"/>
      <c r="BX130" s="421"/>
      <c r="BY130" s="421"/>
      <c r="BZ130" s="421"/>
      <c r="CA130" s="421"/>
      <c r="CB130" s="421"/>
      <c r="CC130" s="421"/>
      <c r="CD130" s="422"/>
      <c r="CE130" s="420"/>
      <c r="CF130" s="421"/>
      <c r="CG130" s="421"/>
      <c r="CH130" s="421"/>
      <c r="CI130" s="421"/>
      <c r="CJ130" s="421"/>
      <c r="CK130" s="421"/>
      <c r="CL130" s="421"/>
      <c r="CM130" s="422"/>
      <c r="CN130" s="582">
        <f t="shared" si="12"/>
        <v>9600</v>
      </c>
      <c r="CO130" s="582"/>
      <c r="CP130" s="582"/>
      <c r="CQ130" s="582"/>
      <c r="CR130" s="582"/>
      <c r="CS130" s="582"/>
      <c r="CT130" s="582"/>
      <c r="CU130" s="582"/>
      <c r="CV130" s="583">
        <f t="shared" si="10"/>
        <v>115950.48389589041</v>
      </c>
      <c r="CW130" s="583"/>
      <c r="CX130" s="583"/>
      <c r="CY130" s="583"/>
      <c r="CZ130" s="583"/>
      <c r="DA130" s="583"/>
      <c r="DB130" s="583"/>
      <c r="DC130" s="583"/>
      <c r="DD130" s="583"/>
      <c r="DE130" s="584"/>
    </row>
    <row r="131" spans="1:109" s="2" customFormat="1" ht="23.25" customHeight="1">
      <c r="A131" s="612" t="s">
        <v>1217</v>
      </c>
      <c r="B131" s="601"/>
      <c r="C131" s="601"/>
      <c r="D131" s="601"/>
      <c r="E131" s="601"/>
      <c r="F131" s="601"/>
      <c r="G131" s="601"/>
      <c r="H131" s="601"/>
      <c r="I131" s="601"/>
      <c r="J131" s="601"/>
      <c r="K131" s="601"/>
      <c r="L131" s="601"/>
      <c r="M131" s="601"/>
      <c r="N131" s="601"/>
      <c r="O131" s="602"/>
      <c r="P131" s="600" t="s">
        <v>1265</v>
      </c>
      <c r="Q131" s="601"/>
      <c r="R131" s="601"/>
      <c r="S131" s="601"/>
      <c r="T131" s="601"/>
      <c r="U131" s="601"/>
      <c r="V131" s="601"/>
      <c r="W131" s="601"/>
      <c r="X131" s="601"/>
      <c r="Y131" s="601"/>
      <c r="Z131" s="601"/>
      <c r="AA131" s="601"/>
      <c r="AB131" s="601"/>
      <c r="AC131" s="602"/>
      <c r="AD131" s="414"/>
      <c r="AE131" s="415"/>
      <c r="AF131" s="416"/>
      <c r="AG131" s="613">
        <v>1</v>
      </c>
      <c r="AH131" s="614"/>
      <c r="AI131" s="614"/>
      <c r="AJ131" s="615"/>
      <c r="AK131" s="585">
        <f>153.71*30.41</f>
        <v>4674.3211000000001</v>
      </c>
      <c r="AL131" s="586"/>
      <c r="AM131" s="586"/>
      <c r="AN131" s="586"/>
      <c r="AO131" s="586"/>
      <c r="AP131" s="587"/>
      <c r="AQ131" s="583">
        <f t="shared" si="11"/>
        <v>56091.853199999998</v>
      </c>
      <c r="AR131" s="583"/>
      <c r="AS131" s="583"/>
      <c r="AT131" s="583"/>
      <c r="AU131" s="583"/>
      <c r="AV131" s="583"/>
      <c r="AW131" s="583"/>
      <c r="AX131" s="583"/>
      <c r="AY131" s="411"/>
      <c r="AZ131" s="412"/>
      <c r="BA131" s="412"/>
      <c r="BB131" s="412"/>
      <c r="BC131" s="412"/>
      <c r="BD131" s="412"/>
      <c r="BE131" s="412"/>
      <c r="BF131" s="413"/>
      <c r="BG131" s="588">
        <f>153.71*10</f>
        <v>1537.1000000000001</v>
      </c>
      <c r="BH131" s="589"/>
      <c r="BI131" s="589"/>
      <c r="BJ131" s="589"/>
      <c r="BK131" s="589"/>
      <c r="BL131" s="589"/>
      <c r="BM131" s="589"/>
      <c r="BN131" s="590"/>
      <c r="BO131" s="579">
        <f t="shared" si="9"/>
        <v>7683.8155068493152</v>
      </c>
      <c r="BP131" s="580"/>
      <c r="BQ131" s="580"/>
      <c r="BR131" s="580"/>
      <c r="BS131" s="580"/>
      <c r="BT131" s="580"/>
      <c r="BU131" s="580"/>
      <c r="BV131" s="581"/>
      <c r="BW131" s="420"/>
      <c r="BX131" s="421"/>
      <c r="BY131" s="421"/>
      <c r="BZ131" s="421"/>
      <c r="CA131" s="421"/>
      <c r="CB131" s="421"/>
      <c r="CC131" s="421"/>
      <c r="CD131" s="422"/>
      <c r="CE131" s="420"/>
      <c r="CF131" s="421"/>
      <c r="CG131" s="421"/>
      <c r="CH131" s="421"/>
      <c r="CI131" s="421"/>
      <c r="CJ131" s="421"/>
      <c r="CK131" s="421"/>
      <c r="CL131" s="421"/>
      <c r="CM131" s="422"/>
      <c r="CN131" s="582">
        <f t="shared" si="12"/>
        <v>9600</v>
      </c>
      <c r="CO131" s="582"/>
      <c r="CP131" s="582"/>
      <c r="CQ131" s="582"/>
      <c r="CR131" s="582"/>
      <c r="CS131" s="582"/>
      <c r="CT131" s="582"/>
      <c r="CU131" s="582"/>
      <c r="CV131" s="583">
        <f t="shared" si="10"/>
        <v>74912.768706849311</v>
      </c>
      <c r="CW131" s="583"/>
      <c r="CX131" s="583"/>
      <c r="CY131" s="583"/>
      <c r="CZ131" s="583"/>
      <c r="DA131" s="583"/>
      <c r="DB131" s="583"/>
      <c r="DC131" s="583"/>
      <c r="DD131" s="583"/>
      <c r="DE131" s="584"/>
    </row>
    <row r="132" spans="1:109" s="2" customFormat="1" ht="23.25" customHeight="1">
      <c r="A132" s="612" t="s">
        <v>1260</v>
      </c>
      <c r="B132" s="601"/>
      <c r="C132" s="601"/>
      <c r="D132" s="601"/>
      <c r="E132" s="601"/>
      <c r="F132" s="601"/>
      <c r="G132" s="601"/>
      <c r="H132" s="601"/>
      <c r="I132" s="601"/>
      <c r="J132" s="601"/>
      <c r="K132" s="601"/>
      <c r="L132" s="601"/>
      <c r="M132" s="601"/>
      <c r="N132" s="601"/>
      <c r="O132" s="602"/>
      <c r="P132" s="600" t="s">
        <v>1266</v>
      </c>
      <c r="Q132" s="601"/>
      <c r="R132" s="601"/>
      <c r="S132" s="601"/>
      <c r="T132" s="601"/>
      <c r="U132" s="601"/>
      <c r="V132" s="601"/>
      <c r="W132" s="601"/>
      <c r="X132" s="601"/>
      <c r="Y132" s="601"/>
      <c r="Z132" s="601"/>
      <c r="AA132" s="601"/>
      <c r="AB132" s="601"/>
      <c r="AC132" s="602"/>
      <c r="AD132" s="414"/>
      <c r="AE132" s="415"/>
      <c r="AF132" s="416"/>
      <c r="AG132" s="613">
        <v>1</v>
      </c>
      <c r="AH132" s="614"/>
      <c r="AI132" s="614"/>
      <c r="AJ132" s="615"/>
      <c r="AK132" s="585">
        <f>296.54*30.41</f>
        <v>9017.7813999999998</v>
      </c>
      <c r="AL132" s="586"/>
      <c r="AM132" s="586"/>
      <c r="AN132" s="586"/>
      <c r="AO132" s="586"/>
      <c r="AP132" s="587"/>
      <c r="AQ132" s="583">
        <f t="shared" si="11"/>
        <v>108213.3768</v>
      </c>
      <c r="AR132" s="583"/>
      <c r="AS132" s="583"/>
      <c r="AT132" s="583"/>
      <c r="AU132" s="583"/>
      <c r="AV132" s="583"/>
      <c r="AW132" s="583"/>
      <c r="AX132" s="583"/>
      <c r="AY132" s="411"/>
      <c r="AZ132" s="412"/>
      <c r="BA132" s="412"/>
      <c r="BB132" s="412"/>
      <c r="BC132" s="412"/>
      <c r="BD132" s="412"/>
      <c r="BE132" s="412"/>
      <c r="BF132" s="413"/>
      <c r="BG132" s="588">
        <f>296.54*10</f>
        <v>2965.4</v>
      </c>
      <c r="BH132" s="589"/>
      <c r="BI132" s="589"/>
      <c r="BJ132" s="589"/>
      <c r="BK132" s="589"/>
      <c r="BL132" s="589"/>
      <c r="BM132" s="589"/>
      <c r="BN132" s="590"/>
      <c r="BO132" s="579">
        <f t="shared" si="9"/>
        <v>14823.75024657534</v>
      </c>
      <c r="BP132" s="580"/>
      <c r="BQ132" s="580"/>
      <c r="BR132" s="580"/>
      <c r="BS132" s="580"/>
      <c r="BT132" s="580"/>
      <c r="BU132" s="580"/>
      <c r="BV132" s="581"/>
      <c r="BW132" s="411"/>
      <c r="BX132" s="412"/>
      <c r="BY132" s="412"/>
      <c r="BZ132" s="412"/>
      <c r="CA132" s="412"/>
      <c r="CB132" s="412"/>
      <c r="CC132" s="412"/>
      <c r="CD132" s="413"/>
      <c r="CE132" s="411"/>
      <c r="CF132" s="412"/>
      <c r="CG132" s="412"/>
      <c r="CH132" s="412"/>
      <c r="CI132" s="412"/>
      <c r="CJ132" s="412"/>
      <c r="CK132" s="412"/>
      <c r="CL132" s="412"/>
      <c r="CM132" s="413"/>
      <c r="CN132" s="582">
        <f t="shared" si="12"/>
        <v>9600</v>
      </c>
      <c r="CO132" s="582"/>
      <c r="CP132" s="582"/>
      <c r="CQ132" s="582"/>
      <c r="CR132" s="582"/>
      <c r="CS132" s="582"/>
      <c r="CT132" s="582"/>
      <c r="CU132" s="582"/>
      <c r="CV132" s="583">
        <f t="shared" si="10"/>
        <v>135602.52704657533</v>
      </c>
      <c r="CW132" s="583"/>
      <c r="CX132" s="583"/>
      <c r="CY132" s="583"/>
      <c r="CZ132" s="583"/>
      <c r="DA132" s="583"/>
      <c r="DB132" s="583"/>
      <c r="DC132" s="583"/>
      <c r="DD132" s="583"/>
      <c r="DE132" s="584"/>
    </row>
    <row r="133" spans="1:109" s="2" customFormat="1" ht="23.25" customHeight="1">
      <c r="A133" s="612" t="s">
        <v>1159</v>
      </c>
      <c r="B133" s="601"/>
      <c r="C133" s="601"/>
      <c r="D133" s="601"/>
      <c r="E133" s="601"/>
      <c r="F133" s="601"/>
      <c r="G133" s="601"/>
      <c r="H133" s="601"/>
      <c r="I133" s="601"/>
      <c r="J133" s="601"/>
      <c r="K133" s="601"/>
      <c r="L133" s="601"/>
      <c r="M133" s="601"/>
      <c r="N133" s="601"/>
      <c r="O133" s="602"/>
      <c r="P133" s="600" t="s">
        <v>1266</v>
      </c>
      <c r="Q133" s="601"/>
      <c r="R133" s="601"/>
      <c r="S133" s="601"/>
      <c r="T133" s="601"/>
      <c r="U133" s="601"/>
      <c r="V133" s="601"/>
      <c r="W133" s="601"/>
      <c r="X133" s="601"/>
      <c r="Y133" s="601"/>
      <c r="Z133" s="601"/>
      <c r="AA133" s="601"/>
      <c r="AB133" s="601"/>
      <c r="AC133" s="602"/>
      <c r="AD133" s="414"/>
      <c r="AE133" s="415"/>
      <c r="AF133" s="416"/>
      <c r="AG133" s="613">
        <v>1</v>
      </c>
      <c r="AH133" s="614"/>
      <c r="AI133" s="614"/>
      <c r="AJ133" s="615"/>
      <c r="AK133" s="585">
        <f>165.05*30.41</f>
        <v>5019.1705000000002</v>
      </c>
      <c r="AL133" s="586"/>
      <c r="AM133" s="586"/>
      <c r="AN133" s="586"/>
      <c r="AO133" s="586"/>
      <c r="AP133" s="587"/>
      <c r="AQ133" s="583">
        <f t="shared" si="11"/>
        <v>60230.046000000002</v>
      </c>
      <c r="AR133" s="583"/>
      <c r="AS133" s="583"/>
      <c r="AT133" s="583"/>
      <c r="AU133" s="583"/>
      <c r="AV133" s="583"/>
      <c r="AW133" s="583"/>
      <c r="AX133" s="583"/>
      <c r="AY133" s="411"/>
      <c r="AZ133" s="412"/>
      <c r="BA133" s="412"/>
      <c r="BB133" s="412"/>
      <c r="BC133" s="412"/>
      <c r="BD133" s="412"/>
      <c r="BE133" s="412"/>
      <c r="BF133" s="413"/>
      <c r="BG133" s="588">
        <f>165.05*10</f>
        <v>1650.5</v>
      </c>
      <c r="BH133" s="589"/>
      <c r="BI133" s="589"/>
      <c r="BJ133" s="589"/>
      <c r="BK133" s="589"/>
      <c r="BL133" s="589"/>
      <c r="BM133" s="589"/>
      <c r="BN133" s="590"/>
      <c r="BO133" s="579">
        <f t="shared" si="9"/>
        <v>8250.6912328767121</v>
      </c>
      <c r="BP133" s="580"/>
      <c r="BQ133" s="580"/>
      <c r="BR133" s="580"/>
      <c r="BS133" s="580"/>
      <c r="BT133" s="580"/>
      <c r="BU133" s="580"/>
      <c r="BV133" s="581"/>
      <c r="BW133" s="411"/>
      <c r="BX133" s="412"/>
      <c r="BY133" s="412"/>
      <c r="BZ133" s="412"/>
      <c r="CA133" s="412"/>
      <c r="CB133" s="412"/>
      <c r="CC133" s="412"/>
      <c r="CD133" s="413"/>
      <c r="CE133" s="411"/>
      <c r="CF133" s="412"/>
      <c r="CG133" s="412"/>
      <c r="CH133" s="412"/>
      <c r="CI133" s="412"/>
      <c r="CJ133" s="412"/>
      <c r="CK133" s="412"/>
      <c r="CL133" s="412"/>
      <c r="CM133" s="413"/>
      <c r="CN133" s="582">
        <f t="shared" si="12"/>
        <v>9600</v>
      </c>
      <c r="CO133" s="582"/>
      <c r="CP133" s="582"/>
      <c r="CQ133" s="582"/>
      <c r="CR133" s="582"/>
      <c r="CS133" s="582"/>
      <c r="CT133" s="582"/>
      <c r="CU133" s="582"/>
      <c r="CV133" s="583">
        <f t="shared" si="10"/>
        <v>79731.237232876709</v>
      </c>
      <c r="CW133" s="583"/>
      <c r="CX133" s="583"/>
      <c r="CY133" s="583"/>
      <c r="CZ133" s="583"/>
      <c r="DA133" s="583"/>
      <c r="DB133" s="583"/>
      <c r="DC133" s="583"/>
      <c r="DD133" s="583"/>
      <c r="DE133" s="584"/>
    </row>
    <row r="134" spans="1:109" s="2" customFormat="1" ht="23.25" customHeight="1">
      <c r="A134" s="612" t="s">
        <v>1260</v>
      </c>
      <c r="B134" s="601"/>
      <c r="C134" s="601"/>
      <c r="D134" s="601"/>
      <c r="E134" s="601"/>
      <c r="F134" s="601"/>
      <c r="G134" s="601"/>
      <c r="H134" s="601"/>
      <c r="I134" s="601"/>
      <c r="J134" s="601"/>
      <c r="K134" s="601"/>
      <c r="L134" s="601"/>
      <c r="M134" s="601"/>
      <c r="N134" s="601"/>
      <c r="O134" s="602"/>
      <c r="P134" s="600" t="s">
        <v>1267</v>
      </c>
      <c r="Q134" s="601"/>
      <c r="R134" s="601"/>
      <c r="S134" s="601"/>
      <c r="T134" s="601"/>
      <c r="U134" s="601"/>
      <c r="V134" s="601"/>
      <c r="W134" s="601"/>
      <c r="X134" s="601"/>
      <c r="Y134" s="601"/>
      <c r="Z134" s="601"/>
      <c r="AA134" s="601"/>
      <c r="AB134" s="601"/>
      <c r="AC134" s="602"/>
      <c r="AD134" s="414"/>
      <c r="AE134" s="415"/>
      <c r="AF134" s="416"/>
      <c r="AG134" s="613">
        <v>1</v>
      </c>
      <c r="AH134" s="614"/>
      <c r="AI134" s="614"/>
      <c r="AJ134" s="615"/>
      <c r="AK134" s="585">
        <f>296.54*30.41</f>
        <v>9017.7813999999998</v>
      </c>
      <c r="AL134" s="586"/>
      <c r="AM134" s="586"/>
      <c r="AN134" s="586"/>
      <c r="AO134" s="586"/>
      <c r="AP134" s="587"/>
      <c r="AQ134" s="583">
        <f t="shared" si="11"/>
        <v>108213.3768</v>
      </c>
      <c r="AR134" s="583"/>
      <c r="AS134" s="583"/>
      <c r="AT134" s="583"/>
      <c r="AU134" s="583"/>
      <c r="AV134" s="583"/>
      <c r="AW134" s="583"/>
      <c r="AX134" s="583"/>
      <c r="AY134" s="411"/>
      <c r="AZ134" s="412"/>
      <c r="BA134" s="412"/>
      <c r="BB134" s="412"/>
      <c r="BC134" s="412"/>
      <c r="BD134" s="412"/>
      <c r="BE134" s="412"/>
      <c r="BF134" s="413"/>
      <c r="BG134" s="588">
        <f>296.54*10</f>
        <v>2965.4</v>
      </c>
      <c r="BH134" s="589"/>
      <c r="BI134" s="589"/>
      <c r="BJ134" s="589"/>
      <c r="BK134" s="589"/>
      <c r="BL134" s="589"/>
      <c r="BM134" s="589"/>
      <c r="BN134" s="590"/>
      <c r="BO134" s="579">
        <f t="shared" si="9"/>
        <v>14823.75024657534</v>
      </c>
      <c r="BP134" s="580"/>
      <c r="BQ134" s="580"/>
      <c r="BR134" s="580"/>
      <c r="BS134" s="580"/>
      <c r="BT134" s="580"/>
      <c r="BU134" s="580"/>
      <c r="BV134" s="581"/>
      <c r="BW134" s="420"/>
      <c r="BX134" s="421"/>
      <c r="BY134" s="421"/>
      <c r="BZ134" s="421"/>
      <c r="CA134" s="421"/>
      <c r="CB134" s="421"/>
      <c r="CC134" s="421"/>
      <c r="CD134" s="422"/>
      <c r="CE134" s="420"/>
      <c r="CF134" s="421"/>
      <c r="CG134" s="421"/>
      <c r="CH134" s="421"/>
      <c r="CI134" s="421"/>
      <c r="CJ134" s="421"/>
      <c r="CK134" s="421"/>
      <c r="CL134" s="421"/>
      <c r="CM134" s="422"/>
      <c r="CN134" s="582">
        <f t="shared" si="12"/>
        <v>9600</v>
      </c>
      <c r="CO134" s="582"/>
      <c r="CP134" s="582"/>
      <c r="CQ134" s="582"/>
      <c r="CR134" s="582"/>
      <c r="CS134" s="582"/>
      <c r="CT134" s="582"/>
      <c r="CU134" s="582"/>
      <c r="CV134" s="583">
        <f t="shared" si="10"/>
        <v>135602.52704657533</v>
      </c>
      <c r="CW134" s="583"/>
      <c r="CX134" s="583"/>
      <c r="CY134" s="583"/>
      <c r="CZ134" s="583"/>
      <c r="DA134" s="583"/>
      <c r="DB134" s="583"/>
      <c r="DC134" s="583"/>
      <c r="DD134" s="583"/>
      <c r="DE134" s="584"/>
    </row>
    <row r="135" spans="1:109" s="2" customFormat="1" ht="23.25" customHeight="1">
      <c r="A135" s="612" t="s">
        <v>1143</v>
      </c>
      <c r="B135" s="601"/>
      <c r="C135" s="601"/>
      <c r="D135" s="601"/>
      <c r="E135" s="601"/>
      <c r="F135" s="601"/>
      <c r="G135" s="601"/>
      <c r="H135" s="601"/>
      <c r="I135" s="601"/>
      <c r="J135" s="601"/>
      <c r="K135" s="601"/>
      <c r="L135" s="601"/>
      <c r="M135" s="601"/>
      <c r="N135" s="601"/>
      <c r="O135" s="602"/>
      <c r="P135" s="600" t="s">
        <v>1267</v>
      </c>
      <c r="Q135" s="601"/>
      <c r="R135" s="601"/>
      <c r="S135" s="601"/>
      <c r="T135" s="601"/>
      <c r="U135" s="601"/>
      <c r="V135" s="601"/>
      <c r="W135" s="601"/>
      <c r="X135" s="601"/>
      <c r="Y135" s="601"/>
      <c r="Z135" s="601"/>
      <c r="AA135" s="601"/>
      <c r="AB135" s="601"/>
      <c r="AC135" s="602"/>
      <c r="AD135" s="414"/>
      <c r="AE135" s="415"/>
      <c r="AF135" s="416"/>
      <c r="AG135" s="613">
        <v>1</v>
      </c>
      <c r="AH135" s="614"/>
      <c r="AI135" s="614"/>
      <c r="AJ135" s="615"/>
      <c r="AK135" s="585">
        <f>250.29*30.41</f>
        <v>7611.3189000000002</v>
      </c>
      <c r="AL135" s="586"/>
      <c r="AM135" s="586"/>
      <c r="AN135" s="586"/>
      <c r="AO135" s="586"/>
      <c r="AP135" s="587"/>
      <c r="AQ135" s="583">
        <f t="shared" si="11"/>
        <v>91335.82680000001</v>
      </c>
      <c r="AR135" s="583"/>
      <c r="AS135" s="583"/>
      <c r="AT135" s="583"/>
      <c r="AU135" s="583"/>
      <c r="AV135" s="583"/>
      <c r="AW135" s="583"/>
      <c r="AX135" s="583"/>
      <c r="AY135" s="411"/>
      <c r="AZ135" s="412"/>
      <c r="BA135" s="412"/>
      <c r="BB135" s="412"/>
      <c r="BC135" s="412"/>
      <c r="BD135" s="412"/>
      <c r="BE135" s="412"/>
      <c r="BF135" s="413"/>
      <c r="BG135" s="588">
        <f>250.29*10</f>
        <v>2502.9</v>
      </c>
      <c r="BH135" s="589"/>
      <c r="BI135" s="589"/>
      <c r="BJ135" s="589"/>
      <c r="BK135" s="589"/>
      <c r="BL135" s="589"/>
      <c r="BM135" s="589"/>
      <c r="BN135" s="590"/>
      <c r="BO135" s="579">
        <f t="shared" si="9"/>
        <v>12511.757095890413</v>
      </c>
      <c r="BP135" s="580"/>
      <c r="BQ135" s="580"/>
      <c r="BR135" s="580"/>
      <c r="BS135" s="580"/>
      <c r="BT135" s="580"/>
      <c r="BU135" s="580"/>
      <c r="BV135" s="581"/>
      <c r="BW135" s="420"/>
      <c r="BX135" s="421"/>
      <c r="BY135" s="421"/>
      <c r="BZ135" s="421"/>
      <c r="CA135" s="421"/>
      <c r="CB135" s="421"/>
      <c r="CC135" s="421"/>
      <c r="CD135" s="422"/>
      <c r="CE135" s="420"/>
      <c r="CF135" s="421"/>
      <c r="CG135" s="421"/>
      <c r="CH135" s="421"/>
      <c r="CI135" s="421"/>
      <c r="CJ135" s="421"/>
      <c r="CK135" s="421"/>
      <c r="CL135" s="421"/>
      <c r="CM135" s="422"/>
      <c r="CN135" s="582">
        <f t="shared" si="12"/>
        <v>9600</v>
      </c>
      <c r="CO135" s="582"/>
      <c r="CP135" s="582"/>
      <c r="CQ135" s="582"/>
      <c r="CR135" s="582"/>
      <c r="CS135" s="582"/>
      <c r="CT135" s="582"/>
      <c r="CU135" s="582"/>
      <c r="CV135" s="583">
        <f t="shared" si="10"/>
        <v>115950.48389589041</v>
      </c>
      <c r="CW135" s="583"/>
      <c r="CX135" s="583"/>
      <c r="CY135" s="583"/>
      <c r="CZ135" s="583"/>
      <c r="DA135" s="583"/>
      <c r="DB135" s="583"/>
      <c r="DC135" s="583"/>
      <c r="DD135" s="583"/>
      <c r="DE135" s="584"/>
    </row>
    <row r="136" spans="1:109" s="2" customFormat="1" ht="23.25" customHeight="1">
      <c r="A136" s="612" t="s">
        <v>1159</v>
      </c>
      <c r="B136" s="601"/>
      <c r="C136" s="601"/>
      <c r="D136" s="601"/>
      <c r="E136" s="601"/>
      <c r="F136" s="601"/>
      <c r="G136" s="601"/>
      <c r="H136" s="601"/>
      <c r="I136" s="601"/>
      <c r="J136" s="601"/>
      <c r="K136" s="601"/>
      <c r="L136" s="601"/>
      <c r="M136" s="601"/>
      <c r="N136" s="601"/>
      <c r="O136" s="602"/>
      <c r="P136" s="600" t="s">
        <v>1267</v>
      </c>
      <c r="Q136" s="601"/>
      <c r="R136" s="601"/>
      <c r="S136" s="601"/>
      <c r="T136" s="601"/>
      <c r="U136" s="601"/>
      <c r="V136" s="601"/>
      <c r="W136" s="601"/>
      <c r="X136" s="601"/>
      <c r="Y136" s="601"/>
      <c r="Z136" s="601"/>
      <c r="AA136" s="601"/>
      <c r="AB136" s="601"/>
      <c r="AC136" s="602"/>
      <c r="AD136" s="414"/>
      <c r="AE136" s="415"/>
      <c r="AF136" s="416"/>
      <c r="AG136" s="613">
        <v>1</v>
      </c>
      <c r="AH136" s="614"/>
      <c r="AI136" s="614"/>
      <c r="AJ136" s="615"/>
      <c r="AK136" s="585">
        <f>165.05*30.41</f>
        <v>5019.1705000000002</v>
      </c>
      <c r="AL136" s="586"/>
      <c r="AM136" s="586"/>
      <c r="AN136" s="586"/>
      <c r="AO136" s="586"/>
      <c r="AP136" s="587"/>
      <c r="AQ136" s="583">
        <f t="shared" si="11"/>
        <v>60230.046000000002</v>
      </c>
      <c r="AR136" s="583"/>
      <c r="AS136" s="583"/>
      <c r="AT136" s="583"/>
      <c r="AU136" s="583"/>
      <c r="AV136" s="583"/>
      <c r="AW136" s="583"/>
      <c r="AX136" s="583"/>
      <c r="AY136" s="411"/>
      <c r="AZ136" s="412"/>
      <c r="BA136" s="412"/>
      <c r="BB136" s="412"/>
      <c r="BC136" s="412"/>
      <c r="BD136" s="412"/>
      <c r="BE136" s="412"/>
      <c r="BF136" s="413"/>
      <c r="BG136" s="588">
        <f>165.05*10</f>
        <v>1650.5</v>
      </c>
      <c r="BH136" s="589"/>
      <c r="BI136" s="589"/>
      <c r="BJ136" s="589"/>
      <c r="BK136" s="589"/>
      <c r="BL136" s="589"/>
      <c r="BM136" s="589"/>
      <c r="BN136" s="590"/>
      <c r="BO136" s="579">
        <f t="shared" si="9"/>
        <v>8250.6912328767121</v>
      </c>
      <c r="BP136" s="580"/>
      <c r="BQ136" s="580"/>
      <c r="BR136" s="580"/>
      <c r="BS136" s="580"/>
      <c r="BT136" s="580"/>
      <c r="BU136" s="580"/>
      <c r="BV136" s="581"/>
      <c r="BW136" s="420"/>
      <c r="BX136" s="421"/>
      <c r="BY136" s="421"/>
      <c r="BZ136" s="421"/>
      <c r="CA136" s="421"/>
      <c r="CB136" s="421"/>
      <c r="CC136" s="421"/>
      <c r="CD136" s="422"/>
      <c r="CE136" s="420"/>
      <c r="CF136" s="421"/>
      <c r="CG136" s="421"/>
      <c r="CH136" s="421"/>
      <c r="CI136" s="421"/>
      <c r="CJ136" s="421"/>
      <c r="CK136" s="421"/>
      <c r="CL136" s="421"/>
      <c r="CM136" s="422"/>
      <c r="CN136" s="582">
        <f t="shared" si="12"/>
        <v>9600</v>
      </c>
      <c r="CO136" s="582"/>
      <c r="CP136" s="582"/>
      <c r="CQ136" s="582"/>
      <c r="CR136" s="582"/>
      <c r="CS136" s="582"/>
      <c r="CT136" s="582"/>
      <c r="CU136" s="582"/>
      <c r="CV136" s="583">
        <f t="shared" si="10"/>
        <v>79731.237232876709</v>
      </c>
      <c r="CW136" s="583"/>
      <c r="CX136" s="583"/>
      <c r="CY136" s="583"/>
      <c r="CZ136" s="583"/>
      <c r="DA136" s="583"/>
      <c r="DB136" s="583"/>
      <c r="DC136" s="583"/>
      <c r="DD136" s="583"/>
      <c r="DE136" s="584"/>
    </row>
    <row r="137" spans="1:109" s="2" customFormat="1" ht="23.25" customHeight="1">
      <c r="A137" s="554" t="s">
        <v>1217</v>
      </c>
      <c r="B137" s="555"/>
      <c r="C137" s="555"/>
      <c r="D137" s="555"/>
      <c r="E137" s="555"/>
      <c r="F137" s="555"/>
      <c r="G137" s="555"/>
      <c r="H137" s="555"/>
      <c r="I137" s="555"/>
      <c r="J137" s="555"/>
      <c r="K137" s="555"/>
      <c r="L137" s="555"/>
      <c r="M137" s="555"/>
      <c r="N137" s="555"/>
      <c r="O137" s="556"/>
      <c r="P137" s="600" t="s">
        <v>1267</v>
      </c>
      <c r="Q137" s="601"/>
      <c r="R137" s="601"/>
      <c r="S137" s="601"/>
      <c r="T137" s="601"/>
      <c r="U137" s="601"/>
      <c r="V137" s="601"/>
      <c r="W137" s="601"/>
      <c r="X137" s="601"/>
      <c r="Y137" s="601"/>
      <c r="Z137" s="601"/>
      <c r="AA137" s="601"/>
      <c r="AB137" s="601"/>
      <c r="AC137" s="602"/>
      <c r="AD137" s="616"/>
      <c r="AE137" s="617"/>
      <c r="AF137" s="618"/>
      <c r="AG137" s="613">
        <v>1</v>
      </c>
      <c r="AH137" s="614"/>
      <c r="AI137" s="614"/>
      <c r="AJ137" s="615"/>
      <c r="AK137" s="585">
        <f>153.71*30.41</f>
        <v>4674.3211000000001</v>
      </c>
      <c r="AL137" s="586"/>
      <c r="AM137" s="586"/>
      <c r="AN137" s="586"/>
      <c r="AO137" s="586"/>
      <c r="AP137" s="587"/>
      <c r="AQ137" s="583">
        <f t="shared" si="11"/>
        <v>56091.853199999998</v>
      </c>
      <c r="AR137" s="583"/>
      <c r="AS137" s="583"/>
      <c r="AT137" s="583"/>
      <c r="AU137" s="583"/>
      <c r="AV137" s="583"/>
      <c r="AW137" s="583"/>
      <c r="AX137" s="583"/>
      <c r="AY137" s="588"/>
      <c r="AZ137" s="589"/>
      <c r="BA137" s="589"/>
      <c r="BB137" s="589"/>
      <c r="BC137" s="589"/>
      <c r="BD137" s="589"/>
      <c r="BE137" s="589"/>
      <c r="BF137" s="590"/>
      <c r="BG137" s="626">
        <f>153.71*10</f>
        <v>1537.1000000000001</v>
      </c>
      <c r="BH137" s="627"/>
      <c r="BI137" s="627"/>
      <c r="BJ137" s="627"/>
      <c r="BK137" s="627"/>
      <c r="BL137" s="627"/>
      <c r="BM137" s="627"/>
      <c r="BN137" s="628"/>
      <c r="BO137" s="579">
        <f t="shared" ref="BO137:BO148" si="15">AQ137/365*50</f>
        <v>7683.8155068493152</v>
      </c>
      <c r="BP137" s="580"/>
      <c r="BQ137" s="580"/>
      <c r="BR137" s="580"/>
      <c r="BS137" s="580"/>
      <c r="BT137" s="580"/>
      <c r="BU137" s="580"/>
      <c r="BV137" s="581"/>
      <c r="BW137" s="626"/>
      <c r="BX137" s="627"/>
      <c r="BY137" s="627"/>
      <c r="BZ137" s="627"/>
      <c r="CA137" s="627"/>
      <c r="CB137" s="627"/>
      <c r="CC137" s="627"/>
      <c r="CD137" s="628"/>
      <c r="CE137" s="626"/>
      <c r="CF137" s="627"/>
      <c r="CG137" s="627"/>
      <c r="CH137" s="627"/>
      <c r="CI137" s="627"/>
      <c r="CJ137" s="627"/>
      <c r="CK137" s="627"/>
      <c r="CL137" s="627"/>
      <c r="CM137" s="628"/>
      <c r="CN137" s="582">
        <f t="shared" si="12"/>
        <v>9600</v>
      </c>
      <c r="CO137" s="582"/>
      <c r="CP137" s="582"/>
      <c r="CQ137" s="582"/>
      <c r="CR137" s="582"/>
      <c r="CS137" s="582"/>
      <c r="CT137" s="582"/>
      <c r="CU137" s="582"/>
      <c r="CV137" s="583">
        <f t="shared" ref="CV137:CV148" si="16">SUM(AQ137:CU137)</f>
        <v>74912.768706849311</v>
      </c>
      <c r="CW137" s="583"/>
      <c r="CX137" s="583"/>
      <c r="CY137" s="583"/>
      <c r="CZ137" s="583"/>
      <c r="DA137" s="583"/>
      <c r="DB137" s="583"/>
      <c r="DC137" s="583"/>
      <c r="DD137" s="583"/>
      <c r="DE137" s="584"/>
    </row>
    <row r="138" spans="1:109" s="2" customFormat="1" ht="23.25" customHeight="1">
      <c r="A138" s="554" t="s">
        <v>1150</v>
      </c>
      <c r="B138" s="555"/>
      <c r="C138" s="555"/>
      <c r="D138" s="555"/>
      <c r="E138" s="555"/>
      <c r="F138" s="555"/>
      <c r="G138" s="555"/>
      <c r="H138" s="555"/>
      <c r="I138" s="555"/>
      <c r="J138" s="555"/>
      <c r="K138" s="555"/>
      <c r="L138" s="555"/>
      <c r="M138" s="555"/>
      <c r="N138" s="555"/>
      <c r="O138" s="556"/>
      <c r="P138" s="600" t="s">
        <v>1267</v>
      </c>
      <c r="Q138" s="601"/>
      <c r="R138" s="601"/>
      <c r="S138" s="601"/>
      <c r="T138" s="601"/>
      <c r="U138" s="601"/>
      <c r="V138" s="601"/>
      <c r="W138" s="601"/>
      <c r="X138" s="601"/>
      <c r="Y138" s="601"/>
      <c r="Z138" s="601"/>
      <c r="AA138" s="601"/>
      <c r="AB138" s="601"/>
      <c r="AC138" s="602"/>
      <c r="AD138" s="616"/>
      <c r="AE138" s="617"/>
      <c r="AF138" s="618"/>
      <c r="AG138" s="613">
        <v>1</v>
      </c>
      <c r="AH138" s="614"/>
      <c r="AI138" s="614"/>
      <c r="AJ138" s="615"/>
      <c r="AK138" s="585">
        <f>196.61*30.41</f>
        <v>5978.9101000000001</v>
      </c>
      <c r="AL138" s="586"/>
      <c r="AM138" s="586"/>
      <c r="AN138" s="586"/>
      <c r="AO138" s="586"/>
      <c r="AP138" s="587"/>
      <c r="AQ138" s="583">
        <f t="shared" ref="AQ138:AQ148" si="17">AG138*AK138*12</f>
        <v>71746.921199999997</v>
      </c>
      <c r="AR138" s="583"/>
      <c r="AS138" s="583"/>
      <c r="AT138" s="583"/>
      <c r="AU138" s="583"/>
      <c r="AV138" s="583"/>
      <c r="AW138" s="583"/>
      <c r="AX138" s="583"/>
      <c r="AY138" s="588"/>
      <c r="AZ138" s="589"/>
      <c r="BA138" s="589"/>
      <c r="BB138" s="589"/>
      <c r="BC138" s="589"/>
      <c r="BD138" s="589"/>
      <c r="BE138" s="589"/>
      <c r="BF138" s="590"/>
      <c r="BG138" s="626">
        <f>196.61*10</f>
        <v>1966.1000000000001</v>
      </c>
      <c r="BH138" s="627"/>
      <c r="BI138" s="627"/>
      <c r="BJ138" s="627"/>
      <c r="BK138" s="627"/>
      <c r="BL138" s="627"/>
      <c r="BM138" s="627"/>
      <c r="BN138" s="628"/>
      <c r="BO138" s="579">
        <f t="shared" si="15"/>
        <v>9828.3453698630128</v>
      </c>
      <c r="BP138" s="580"/>
      <c r="BQ138" s="580"/>
      <c r="BR138" s="580"/>
      <c r="BS138" s="580"/>
      <c r="BT138" s="580"/>
      <c r="BU138" s="580"/>
      <c r="BV138" s="581"/>
      <c r="BW138" s="626"/>
      <c r="BX138" s="627"/>
      <c r="BY138" s="627"/>
      <c r="BZ138" s="627"/>
      <c r="CA138" s="627"/>
      <c r="CB138" s="627"/>
      <c r="CC138" s="627"/>
      <c r="CD138" s="628"/>
      <c r="CE138" s="626"/>
      <c r="CF138" s="627"/>
      <c r="CG138" s="627"/>
      <c r="CH138" s="627"/>
      <c r="CI138" s="627"/>
      <c r="CJ138" s="627"/>
      <c r="CK138" s="627"/>
      <c r="CL138" s="627"/>
      <c r="CM138" s="628"/>
      <c r="CN138" s="582">
        <f t="shared" si="12"/>
        <v>9600</v>
      </c>
      <c r="CO138" s="582"/>
      <c r="CP138" s="582"/>
      <c r="CQ138" s="582"/>
      <c r="CR138" s="582"/>
      <c r="CS138" s="582"/>
      <c r="CT138" s="582"/>
      <c r="CU138" s="582"/>
      <c r="CV138" s="583">
        <f t="shared" si="16"/>
        <v>93141.366569863021</v>
      </c>
      <c r="CW138" s="583"/>
      <c r="CX138" s="583"/>
      <c r="CY138" s="583"/>
      <c r="CZ138" s="583"/>
      <c r="DA138" s="583"/>
      <c r="DB138" s="583"/>
      <c r="DC138" s="583"/>
      <c r="DD138" s="583"/>
      <c r="DE138" s="584"/>
    </row>
    <row r="139" spans="1:109" s="2" customFormat="1" ht="23.25" customHeight="1">
      <c r="A139" s="612" t="s">
        <v>1263</v>
      </c>
      <c r="B139" s="601"/>
      <c r="C139" s="601"/>
      <c r="D139" s="601"/>
      <c r="E139" s="601"/>
      <c r="F139" s="601"/>
      <c r="G139" s="601"/>
      <c r="H139" s="601"/>
      <c r="I139" s="601"/>
      <c r="J139" s="601"/>
      <c r="K139" s="601"/>
      <c r="L139" s="601"/>
      <c r="M139" s="601"/>
      <c r="N139" s="601"/>
      <c r="O139" s="602"/>
      <c r="P139" s="600" t="s">
        <v>1267</v>
      </c>
      <c r="Q139" s="601"/>
      <c r="R139" s="601"/>
      <c r="S139" s="601"/>
      <c r="T139" s="601"/>
      <c r="U139" s="601"/>
      <c r="V139" s="601"/>
      <c r="W139" s="601"/>
      <c r="X139" s="601"/>
      <c r="Y139" s="601"/>
      <c r="Z139" s="601"/>
      <c r="AA139" s="601"/>
      <c r="AB139" s="601"/>
      <c r="AC139" s="602"/>
      <c r="AD139" s="414"/>
      <c r="AE139" s="415"/>
      <c r="AF139" s="416"/>
      <c r="AG139" s="613">
        <v>1</v>
      </c>
      <c r="AH139" s="614"/>
      <c r="AI139" s="614"/>
      <c r="AJ139" s="615"/>
      <c r="AK139" s="585">
        <f>196.61*30.41</f>
        <v>5978.9101000000001</v>
      </c>
      <c r="AL139" s="586"/>
      <c r="AM139" s="586"/>
      <c r="AN139" s="586"/>
      <c r="AO139" s="586"/>
      <c r="AP139" s="587"/>
      <c r="AQ139" s="583">
        <f t="shared" si="17"/>
        <v>71746.921199999997</v>
      </c>
      <c r="AR139" s="583"/>
      <c r="AS139" s="583"/>
      <c r="AT139" s="583"/>
      <c r="AU139" s="583"/>
      <c r="AV139" s="583"/>
      <c r="AW139" s="583"/>
      <c r="AX139" s="583"/>
      <c r="AY139" s="411"/>
      <c r="AZ139" s="412"/>
      <c r="BA139" s="412"/>
      <c r="BB139" s="412"/>
      <c r="BC139" s="412"/>
      <c r="BD139" s="412"/>
      <c r="BE139" s="412"/>
      <c r="BF139" s="413"/>
      <c r="BG139" s="588">
        <f>196.61*10</f>
        <v>1966.1000000000001</v>
      </c>
      <c r="BH139" s="589"/>
      <c r="BI139" s="589"/>
      <c r="BJ139" s="589"/>
      <c r="BK139" s="589"/>
      <c r="BL139" s="589"/>
      <c r="BM139" s="589"/>
      <c r="BN139" s="590"/>
      <c r="BO139" s="579">
        <f t="shared" si="15"/>
        <v>9828.3453698630128</v>
      </c>
      <c r="BP139" s="580"/>
      <c r="BQ139" s="580"/>
      <c r="BR139" s="580"/>
      <c r="BS139" s="580"/>
      <c r="BT139" s="580"/>
      <c r="BU139" s="580"/>
      <c r="BV139" s="581"/>
      <c r="BW139" s="420"/>
      <c r="BX139" s="421"/>
      <c r="BY139" s="421"/>
      <c r="BZ139" s="421"/>
      <c r="CA139" s="421"/>
      <c r="CB139" s="421"/>
      <c r="CC139" s="421"/>
      <c r="CD139" s="422"/>
      <c r="CE139" s="420"/>
      <c r="CF139" s="421"/>
      <c r="CG139" s="421"/>
      <c r="CH139" s="421"/>
      <c r="CI139" s="421"/>
      <c r="CJ139" s="421"/>
      <c r="CK139" s="421"/>
      <c r="CL139" s="421"/>
      <c r="CM139" s="422"/>
      <c r="CN139" s="588">
        <f>400*24</f>
        <v>9600</v>
      </c>
      <c r="CO139" s="589"/>
      <c r="CP139" s="589"/>
      <c r="CQ139" s="589"/>
      <c r="CR139" s="589"/>
      <c r="CS139" s="589"/>
      <c r="CT139" s="589"/>
      <c r="CU139" s="590"/>
      <c r="CV139" s="583">
        <f t="shared" si="16"/>
        <v>93141.366569863021</v>
      </c>
      <c r="CW139" s="583"/>
      <c r="CX139" s="583"/>
      <c r="CY139" s="583"/>
      <c r="CZ139" s="583"/>
      <c r="DA139" s="583"/>
      <c r="DB139" s="583"/>
      <c r="DC139" s="583"/>
      <c r="DD139" s="583"/>
      <c r="DE139" s="584"/>
    </row>
    <row r="140" spans="1:109" s="2" customFormat="1" ht="23.25" customHeight="1">
      <c r="A140" s="612" t="s">
        <v>1268</v>
      </c>
      <c r="B140" s="601"/>
      <c r="C140" s="601"/>
      <c r="D140" s="601"/>
      <c r="E140" s="601"/>
      <c r="F140" s="601"/>
      <c r="G140" s="601"/>
      <c r="H140" s="601"/>
      <c r="I140" s="601"/>
      <c r="J140" s="601"/>
      <c r="K140" s="601"/>
      <c r="L140" s="601"/>
      <c r="M140" s="601"/>
      <c r="N140" s="601"/>
      <c r="O140" s="602"/>
      <c r="P140" s="600" t="s">
        <v>1269</v>
      </c>
      <c r="Q140" s="601"/>
      <c r="R140" s="601"/>
      <c r="S140" s="601"/>
      <c r="T140" s="601"/>
      <c r="U140" s="601"/>
      <c r="V140" s="601"/>
      <c r="W140" s="601"/>
      <c r="X140" s="601"/>
      <c r="Y140" s="601"/>
      <c r="Z140" s="601"/>
      <c r="AA140" s="601"/>
      <c r="AB140" s="601"/>
      <c r="AC140" s="602"/>
      <c r="AD140" s="414"/>
      <c r="AE140" s="415"/>
      <c r="AF140" s="416"/>
      <c r="AG140" s="613">
        <v>1</v>
      </c>
      <c r="AH140" s="614"/>
      <c r="AI140" s="614"/>
      <c r="AJ140" s="615"/>
      <c r="AK140" s="629">
        <f>594.67*30.41</f>
        <v>18083.914699999998</v>
      </c>
      <c r="AL140" s="630"/>
      <c r="AM140" s="630"/>
      <c r="AN140" s="630"/>
      <c r="AO140" s="630"/>
      <c r="AP140" s="631"/>
      <c r="AQ140" s="583">
        <f t="shared" si="17"/>
        <v>217006.97639999999</v>
      </c>
      <c r="AR140" s="583"/>
      <c r="AS140" s="583"/>
      <c r="AT140" s="583"/>
      <c r="AU140" s="583"/>
      <c r="AV140" s="583"/>
      <c r="AW140" s="583"/>
      <c r="AX140" s="583"/>
      <c r="AY140" s="411"/>
      <c r="AZ140" s="412"/>
      <c r="BA140" s="412"/>
      <c r="BB140" s="412"/>
      <c r="BC140" s="412"/>
      <c r="BD140" s="412"/>
      <c r="BE140" s="412"/>
      <c r="BF140" s="413"/>
      <c r="BG140" s="588">
        <f>594.67*10</f>
        <v>5946.7</v>
      </c>
      <c r="BH140" s="589"/>
      <c r="BI140" s="589"/>
      <c r="BJ140" s="589"/>
      <c r="BK140" s="589"/>
      <c r="BL140" s="589"/>
      <c r="BM140" s="589"/>
      <c r="BN140" s="590"/>
      <c r="BO140" s="579">
        <f t="shared" si="15"/>
        <v>29726.983068493148</v>
      </c>
      <c r="BP140" s="580"/>
      <c r="BQ140" s="580"/>
      <c r="BR140" s="580"/>
      <c r="BS140" s="580"/>
      <c r="BT140" s="580"/>
      <c r="BU140" s="580"/>
      <c r="BV140" s="581"/>
      <c r="BW140" s="420"/>
      <c r="BX140" s="421"/>
      <c r="BY140" s="421"/>
      <c r="BZ140" s="421"/>
      <c r="CA140" s="421"/>
      <c r="CB140" s="421"/>
      <c r="CC140" s="421"/>
      <c r="CD140" s="422"/>
      <c r="CE140" s="420"/>
      <c r="CF140" s="421"/>
      <c r="CG140" s="421"/>
      <c r="CH140" s="421"/>
      <c r="CI140" s="421"/>
      <c r="CJ140" s="421"/>
      <c r="CK140" s="421"/>
      <c r="CL140" s="421"/>
      <c r="CM140" s="422"/>
      <c r="CN140" s="588"/>
      <c r="CO140" s="589"/>
      <c r="CP140" s="589"/>
      <c r="CQ140" s="589"/>
      <c r="CR140" s="589"/>
      <c r="CS140" s="589"/>
      <c r="CT140" s="589"/>
      <c r="CU140" s="590"/>
      <c r="CV140" s="583">
        <f t="shared" si="16"/>
        <v>252680.65946849313</v>
      </c>
      <c r="CW140" s="583"/>
      <c r="CX140" s="583"/>
      <c r="CY140" s="583"/>
      <c r="CZ140" s="583"/>
      <c r="DA140" s="583"/>
      <c r="DB140" s="583"/>
      <c r="DC140" s="583"/>
      <c r="DD140" s="583"/>
      <c r="DE140" s="584"/>
    </row>
    <row r="141" spans="1:109" s="2" customFormat="1" ht="23.25" customHeight="1">
      <c r="A141" s="612" t="s">
        <v>1270</v>
      </c>
      <c r="B141" s="601"/>
      <c r="C141" s="601"/>
      <c r="D141" s="601"/>
      <c r="E141" s="601"/>
      <c r="F141" s="601"/>
      <c r="G141" s="601"/>
      <c r="H141" s="601"/>
      <c r="I141" s="601"/>
      <c r="J141" s="601"/>
      <c r="K141" s="601"/>
      <c r="L141" s="601"/>
      <c r="M141" s="601"/>
      <c r="N141" s="601"/>
      <c r="O141" s="602"/>
      <c r="P141" s="600" t="s">
        <v>1269</v>
      </c>
      <c r="Q141" s="601"/>
      <c r="R141" s="601"/>
      <c r="S141" s="601"/>
      <c r="T141" s="601"/>
      <c r="U141" s="601"/>
      <c r="V141" s="601"/>
      <c r="W141" s="601"/>
      <c r="X141" s="601"/>
      <c r="Y141" s="601"/>
      <c r="Z141" s="601"/>
      <c r="AA141" s="601"/>
      <c r="AB141" s="601"/>
      <c r="AC141" s="602"/>
      <c r="AD141" s="414"/>
      <c r="AE141" s="415"/>
      <c r="AF141" s="416"/>
      <c r="AG141" s="613">
        <v>1</v>
      </c>
      <c r="AH141" s="614"/>
      <c r="AI141" s="614"/>
      <c r="AJ141" s="615"/>
      <c r="AK141" s="629">
        <f>594.67*30.41</f>
        <v>18083.914699999998</v>
      </c>
      <c r="AL141" s="630"/>
      <c r="AM141" s="630"/>
      <c r="AN141" s="630"/>
      <c r="AO141" s="630"/>
      <c r="AP141" s="631"/>
      <c r="AQ141" s="583">
        <f t="shared" si="17"/>
        <v>217006.97639999999</v>
      </c>
      <c r="AR141" s="583"/>
      <c r="AS141" s="583"/>
      <c r="AT141" s="583"/>
      <c r="AU141" s="583"/>
      <c r="AV141" s="583"/>
      <c r="AW141" s="583"/>
      <c r="AX141" s="583"/>
      <c r="AY141" s="411"/>
      <c r="AZ141" s="412"/>
      <c r="BA141" s="412"/>
      <c r="BB141" s="412"/>
      <c r="BC141" s="412"/>
      <c r="BD141" s="412"/>
      <c r="BE141" s="412"/>
      <c r="BF141" s="413"/>
      <c r="BG141" s="588">
        <f>594.67*10</f>
        <v>5946.7</v>
      </c>
      <c r="BH141" s="589"/>
      <c r="BI141" s="589"/>
      <c r="BJ141" s="589"/>
      <c r="BK141" s="589"/>
      <c r="BL141" s="589"/>
      <c r="BM141" s="589"/>
      <c r="BN141" s="590"/>
      <c r="BO141" s="579">
        <f t="shared" si="15"/>
        <v>29726.983068493148</v>
      </c>
      <c r="BP141" s="580"/>
      <c r="BQ141" s="580"/>
      <c r="BR141" s="580"/>
      <c r="BS141" s="580"/>
      <c r="BT141" s="580"/>
      <c r="BU141" s="580"/>
      <c r="BV141" s="581"/>
      <c r="BW141" s="420"/>
      <c r="BX141" s="421"/>
      <c r="BY141" s="421"/>
      <c r="BZ141" s="421"/>
      <c r="CA141" s="421"/>
      <c r="CB141" s="421"/>
      <c r="CC141" s="421"/>
      <c r="CD141" s="422"/>
      <c r="CE141" s="420"/>
      <c r="CF141" s="421"/>
      <c r="CG141" s="421"/>
      <c r="CH141" s="421"/>
      <c r="CI141" s="421"/>
      <c r="CJ141" s="421"/>
      <c r="CK141" s="421"/>
      <c r="CL141" s="421"/>
      <c r="CM141" s="422"/>
      <c r="CN141" s="588"/>
      <c r="CO141" s="589"/>
      <c r="CP141" s="589"/>
      <c r="CQ141" s="589"/>
      <c r="CR141" s="589"/>
      <c r="CS141" s="589"/>
      <c r="CT141" s="589"/>
      <c r="CU141" s="590"/>
      <c r="CV141" s="583">
        <f t="shared" si="16"/>
        <v>252680.65946849313</v>
      </c>
      <c r="CW141" s="583"/>
      <c r="CX141" s="583"/>
      <c r="CY141" s="583"/>
      <c r="CZ141" s="583"/>
      <c r="DA141" s="583"/>
      <c r="DB141" s="583"/>
      <c r="DC141" s="583"/>
      <c r="DD141" s="583"/>
      <c r="DE141" s="584"/>
    </row>
    <row r="142" spans="1:109" s="2" customFormat="1" ht="23.25" customHeight="1">
      <c r="A142" s="612" t="s">
        <v>1143</v>
      </c>
      <c r="B142" s="601"/>
      <c r="C142" s="601"/>
      <c r="D142" s="601"/>
      <c r="E142" s="601"/>
      <c r="F142" s="601"/>
      <c r="G142" s="601"/>
      <c r="H142" s="601"/>
      <c r="I142" s="601"/>
      <c r="J142" s="601"/>
      <c r="K142" s="601"/>
      <c r="L142" s="601"/>
      <c r="M142" s="601"/>
      <c r="N142" s="601"/>
      <c r="O142" s="602"/>
      <c r="P142" s="600" t="s">
        <v>1269</v>
      </c>
      <c r="Q142" s="601"/>
      <c r="R142" s="601"/>
      <c r="S142" s="601"/>
      <c r="T142" s="601"/>
      <c r="U142" s="601"/>
      <c r="V142" s="601"/>
      <c r="W142" s="601"/>
      <c r="X142" s="601"/>
      <c r="Y142" s="601"/>
      <c r="Z142" s="601"/>
      <c r="AA142" s="601"/>
      <c r="AB142" s="601"/>
      <c r="AC142" s="602"/>
      <c r="AD142" s="414"/>
      <c r="AE142" s="415"/>
      <c r="AF142" s="416"/>
      <c r="AG142" s="613">
        <v>1</v>
      </c>
      <c r="AH142" s="614"/>
      <c r="AI142" s="614"/>
      <c r="AJ142" s="615"/>
      <c r="AK142" s="629">
        <f>250.29*30.41</f>
        <v>7611.3189000000002</v>
      </c>
      <c r="AL142" s="630"/>
      <c r="AM142" s="630"/>
      <c r="AN142" s="630"/>
      <c r="AO142" s="630"/>
      <c r="AP142" s="631"/>
      <c r="AQ142" s="632">
        <f t="shared" si="17"/>
        <v>91335.82680000001</v>
      </c>
      <c r="AR142" s="633"/>
      <c r="AS142" s="633"/>
      <c r="AT142" s="633"/>
      <c r="AU142" s="633"/>
      <c r="AV142" s="633"/>
      <c r="AW142" s="633"/>
      <c r="AX142" s="634"/>
      <c r="AY142" s="411"/>
      <c r="AZ142" s="412"/>
      <c r="BA142" s="412"/>
      <c r="BB142" s="412"/>
      <c r="BC142" s="412"/>
      <c r="BD142" s="412"/>
      <c r="BE142" s="412"/>
      <c r="BF142" s="413"/>
      <c r="BG142" s="588">
        <f>250.29*10</f>
        <v>2502.9</v>
      </c>
      <c r="BH142" s="589"/>
      <c r="BI142" s="589"/>
      <c r="BJ142" s="589"/>
      <c r="BK142" s="589"/>
      <c r="BL142" s="589"/>
      <c r="BM142" s="589"/>
      <c r="BN142" s="590"/>
      <c r="BO142" s="632">
        <f t="shared" si="15"/>
        <v>12511.757095890413</v>
      </c>
      <c r="BP142" s="633"/>
      <c r="BQ142" s="633"/>
      <c r="BR142" s="633"/>
      <c r="BS142" s="633"/>
      <c r="BT142" s="633"/>
      <c r="BU142" s="633"/>
      <c r="BV142" s="634"/>
      <c r="BW142" s="420"/>
      <c r="BX142" s="421"/>
      <c r="BY142" s="421"/>
      <c r="BZ142" s="421"/>
      <c r="CA142" s="421"/>
      <c r="CB142" s="421"/>
      <c r="CC142" s="421"/>
      <c r="CD142" s="422"/>
      <c r="CE142" s="420"/>
      <c r="CF142" s="421"/>
      <c r="CG142" s="421"/>
      <c r="CH142" s="421"/>
      <c r="CI142" s="421"/>
      <c r="CJ142" s="421"/>
      <c r="CK142" s="421"/>
      <c r="CL142" s="421"/>
      <c r="CM142" s="422"/>
      <c r="CN142" s="588">
        <f>400*24*AG142</f>
        <v>9600</v>
      </c>
      <c r="CO142" s="589"/>
      <c r="CP142" s="589"/>
      <c r="CQ142" s="589"/>
      <c r="CR142" s="589"/>
      <c r="CS142" s="589"/>
      <c r="CT142" s="589"/>
      <c r="CU142" s="590"/>
      <c r="CV142" s="583">
        <f t="shared" si="16"/>
        <v>115950.48389589041</v>
      </c>
      <c r="CW142" s="583"/>
      <c r="CX142" s="583"/>
      <c r="CY142" s="583"/>
      <c r="CZ142" s="583"/>
      <c r="DA142" s="583"/>
      <c r="DB142" s="583"/>
      <c r="DC142" s="583"/>
      <c r="DD142" s="583"/>
      <c r="DE142" s="584"/>
    </row>
    <row r="143" spans="1:109" s="2" customFormat="1" ht="23.25" customHeight="1">
      <c r="A143" s="612" t="s">
        <v>1271</v>
      </c>
      <c r="B143" s="601"/>
      <c r="C143" s="601"/>
      <c r="D143" s="601"/>
      <c r="E143" s="601"/>
      <c r="F143" s="601"/>
      <c r="G143" s="601"/>
      <c r="H143" s="601"/>
      <c r="I143" s="601"/>
      <c r="J143" s="601"/>
      <c r="K143" s="601"/>
      <c r="L143" s="601"/>
      <c r="M143" s="601"/>
      <c r="N143" s="601"/>
      <c r="O143" s="602"/>
      <c r="P143" s="600" t="s">
        <v>1269</v>
      </c>
      <c r="Q143" s="601"/>
      <c r="R143" s="601"/>
      <c r="S143" s="601"/>
      <c r="T143" s="601"/>
      <c r="U143" s="601"/>
      <c r="V143" s="601"/>
      <c r="W143" s="601"/>
      <c r="X143" s="601"/>
      <c r="Y143" s="601"/>
      <c r="Z143" s="601"/>
      <c r="AA143" s="601"/>
      <c r="AB143" s="601"/>
      <c r="AC143" s="602"/>
      <c r="AD143" s="414"/>
      <c r="AE143" s="415"/>
      <c r="AF143" s="416"/>
      <c r="AG143" s="613">
        <v>2</v>
      </c>
      <c r="AH143" s="614"/>
      <c r="AI143" s="614"/>
      <c r="AJ143" s="615"/>
      <c r="AK143" s="629">
        <f>251.21*30.41</f>
        <v>7639.2961000000005</v>
      </c>
      <c r="AL143" s="630"/>
      <c r="AM143" s="630"/>
      <c r="AN143" s="630"/>
      <c r="AO143" s="630"/>
      <c r="AP143" s="631"/>
      <c r="AQ143" s="632">
        <f t="shared" si="17"/>
        <v>183343.10640000002</v>
      </c>
      <c r="AR143" s="633"/>
      <c r="AS143" s="633"/>
      <c r="AT143" s="633"/>
      <c r="AU143" s="633"/>
      <c r="AV143" s="633"/>
      <c r="AW143" s="633"/>
      <c r="AX143" s="634"/>
      <c r="AY143" s="411"/>
      <c r="AZ143" s="412"/>
      <c r="BA143" s="412"/>
      <c r="BB143" s="412"/>
      <c r="BC143" s="412"/>
      <c r="BD143" s="412"/>
      <c r="BE143" s="412"/>
      <c r="BF143" s="413"/>
      <c r="BG143" s="588">
        <f>251.21*10</f>
        <v>2512.1</v>
      </c>
      <c r="BH143" s="589"/>
      <c r="BI143" s="589"/>
      <c r="BJ143" s="589"/>
      <c r="BK143" s="589"/>
      <c r="BL143" s="589"/>
      <c r="BM143" s="589"/>
      <c r="BN143" s="590"/>
      <c r="BO143" s="632">
        <f t="shared" si="15"/>
        <v>25115.494027397264</v>
      </c>
      <c r="BP143" s="633"/>
      <c r="BQ143" s="633"/>
      <c r="BR143" s="633"/>
      <c r="BS143" s="633"/>
      <c r="BT143" s="633"/>
      <c r="BU143" s="633"/>
      <c r="BV143" s="634"/>
      <c r="BW143" s="420"/>
      <c r="BX143" s="421"/>
      <c r="BY143" s="421"/>
      <c r="BZ143" s="421"/>
      <c r="CA143" s="421"/>
      <c r="CB143" s="421"/>
      <c r="CC143" s="421"/>
      <c r="CD143" s="422"/>
      <c r="CE143" s="420"/>
      <c r="CF143" s="421"/>
      <c r="CG143" s="421"/>
      <c r="CH143" s="421"/>
      <c r="CI143" s="421"/>
      <c r="CJ143" s="421"/>
      <c r="CK143" s="421"/>
      <c r="CL143" s="421"/>
      <c r="CM143" s="422"/>
      <c r="CN143" s="588">
        <f t="shared" ref="CN143:CN148" si="18">400*24*AG143</f>
        <v>19200</v>
      </c>
      <c r="CO143" s="589"/>
      <c r="CP143" s="589"/>
      <c r="CQ143" s="589"/>
      <c r="CR143" s="589"/>
      <c r="CS143" s="589"/>
      <c r="CT143" s="589"/>
      <c r="CU143" s="590"/>
      <c r="CV143" s="583">
        <f t="shared" si="16"/>
        <v>230170.7004273973</v>
      </c>
      <c r="CW143" s="583"/>
      <c r="CX143" s="583"/>
      <c r="CY143" s="583"/>
      <c r="CZ143" s="583"/>
      <c r="DA143" s="583"/>
      <c r="DB143" s="583"/>
      <c r="DC143" s="583"/>
      <c r="DD143" s="583"/>
      <c r="DE143" s="584"/>
    </row>
    <row r="144" spans="1:109" s="2" customFormat="1" ht="23.25" customHeight="1">
      <c r="A144" s="612" t="s">
        <v>1272</v>
      </c>
      <c r="B144" s="601"/>
      <c r="C144" s="601"/>
      <c r="D144" s="601"/>
      <c r="E144" s="601"/>
      <c r="F144" s="601"/>
      <c r="G144" s="601"/>
      <c r="H144" s="601"/>
      <c r="I144" s="601"/>
      <c r="J144" s="601"/>
      <c r="K144" s="601"/>
      <c r="L144" s="601"/>
      <c r="M144" s="601"/>
      <c r="N144" s="601"/>
      <c r="O144" s="602"/>
      <c r="P144" s="600" t="s">
        <v>1269</v>
      </c>
      <c r="Q144" s="601"/>
      <c r="R144" s="601"/>
      <c r="S144" s="601"/>
      <c r="T144" s="601"/>
      <c r="U144" s="601"/>
      <c r="V144" s="601"/>
      <c r="W144" s="601"/>
      <c r="X144" s="601"/>
      <c r="Y144" s="601"/>
      <c r="Z144" s="601"/>
      <c r="AA144" s="601"/>
      <c r="AB144" s="601"/>
      <c r="AC144" s="602"/>
      <c r="AD144" s="414"/>
      <c r="AE144" s="415"/>
      <c r="AF144" s="416"/>
      <c r="AG144" s="613">
        <v>2</v>
      </c>
      <c r="AH144" s="614"/>
      <c r="AI144" s="614"/>
      <c r="AJ144" s="615"/>
      <c r="AK144" s="629">
        <f>335*30.41</f>
        <v>10187.35</v>
      </c>
      <c r="AL144" s="630"/>
      <c r="AM144" s="630"/>
      <c r="AN144" s="630"/>
      <c r="AO144" s="630"/>
      <c r="AP144" s="631"/>
      <c r="AQ144" s="632">
        <f t="shared" si="17"/>
        <v>244496.40000000002</v>
      </c>
      <c r="AR144" s="633"/>
      <c r="AS144" s="633"/>
      <c r="AT144" s="633"/>
      <c r="AU144" s="633"/>
      <c r="AV144" s="633"/>
      <c r="AW144" s="633"/>
      <c r="AX144" s="634"/>
      <c r="AY144" s="411"/>
      <c r="AZ144" s="412"/>
      <c r="BA144" s="412"/>
      <c r="BB144" s="412"/>
      <c r="BC144" s="412"/>
      <c r="BD144" s="412"/>
      <c r="BE144" s="412"/>
      <c r="BF144" s="413"/>
      <c r="BG144" s="588">
        <f>335*10</f>
        <v>3350</v>
      </c>
      <c r="BH144" s="589"/>
      <c r="BI144" s="589"/>
      <c r="BJ144" s="589"/>
      <c r="BK144" s="589"/>
      <c r="BL144" s="589"/>
      <c r="BM144" s="589"/>
      <c r="BN144" s="590"/>
      <c r="BO144" s="632">
        <f t="shared" si="15"/>
        <v>33492.65753424658</v>
      </c>
      <c r="BP144" s="633"/>
      <c r="BQ144" s="633"/>
      <c r="BR144" s="633"/>
      <c r="BS144" s="633"/>
      <c r="BT144" s="633"/>
      <c r="BU144" s="633"/>
      <c r="BV144" s="634"/>
      <c r="BW144" s="420"/>
      <c r="BX144" s="421"/>
      <c r="BY144" s="421"/>
      <c r="BZ144" s="421"/>
      <c r="CA144" s="421"/>
      <c r="CB144" s="421"/>
      <c r="CC144" s="421"/>
      <c r="CD144" s="422"/>
      <c r="CE144" s="420"/>
      <c r="CF144" s="421"/>
      <c r="CG144" s="421"/>
      <c r="CH144" s="421"/>
      <c r="CI144" s="421"/>
      <c r="CJ144" s="421"/>
      <c r="CK144" s="421"/>
      <c r="CL144" s="421"/>
      <c r="CM144" s="422"/>
      <c r="CN144" s="588">
        <f t="shared" si="18"/>
        <v>19200</v>
      </c>
      <c r="CO144" s="589"/>
      <c r="CP144" s="589"/>
      <c r="CQ144" s="589"/>
      <c r="CR144" s="589"/>
      <c r="CS144" s="589"/>
      <c r="CT144" s="589"/>
      <c r="CU144" s="590"/>
      <c r="CV144" s="583">
        <f t="shared" si="16"/>
        <v>300539.05753424659</v>
      </c>
      <c r="CW144" s="583"/>
      <c r="CX144" s="583"/>
      <c r="CY144" s="583"/>
      <c r="CZ144" s="583"/>
      <c r="DA144" s="583"/>
      <c r="DB144" s="583"/>
      <c r="DC144" s="583"/>
      <c r="DD144" s="583"/>
      <c r="DE144" s="584"/>
    </row>
    <row r="145" spans="1:110" s="2" customFormat="1" ht="23.25" customHeight="1">
      <c r="A145" s="612" t="s">
        <v>1262</v>
      </c>
      <c r="B145" s="601"/>
      <c r="C145" s="601"/>
      <c r="D145" s="601"/>
      <c r="E145" s="601"/>
      <c r="F145" s="601"/>
      <c r="G145" s="601"/>
      <c r="H145" s="601"/>
      <c r="I145" s="601"/>
      <c r="J145" s="601"/>
      <c r="K145" s="601"/>
      <c r="L145" s="601"/>
      <c r="M145" s="601"/>
      <c r="N145" s="601"/>
      <c r="O145" s="602"/>
      <c r="P145" s="600" t="s">
        <v>1269</v>
      </c>
      <c r="Q145" s="601"/>
      <c r="R145" s="601"/>
      <c r="S145" s="601"/>
      <c r="T145" s="601"/>
      <c r="U145" s="601"/>
      <c r="V145" s="601"/>
      <c r="W145" s="601"/>
      <c r="X145" s="601"/>
      <c r="Y145" s="601"/>
      <c r="Z145" s="601"/>
      <c r="AA145" s="601"/>
      <c r="AB145" s="601"/>
      <c r="AC145" s="602"/>
      <c r="AD145" s="414"/>
      <c r="AE145" s="415"/>
      <c r="AF145" s="416"/>
      <c r="AG145" s="613">
        <v>1</v>
      </c>
      <c r="AH145" s="614"/>
      <c r="AI145" s="614"/>
      <c r="AJ145" s="615"/>
      <c r="AK145" s="629">
        <f>251.21*30.41</f>
        <v>7639.2961000000005</v>
      </c>
      <c r="AL145" s="630"/>
      <c r="AM145" s="630"/>
      <c r="AN145" s="630"/>
      <c r="AO145" s="630"/>
      <c r="AP145" s="631"/>
      <c r="AQ145" s="632">
        <f t="shared" si="17"/>
        <v>91671.553200000009</v>
      </c>
      <c r="AR145" s="633"/>
      <c r="AS145" s="633"/>
      <c r="AT145" s="633"/>
      <c r="AU145" s="633"/>
      <c r="AV145" s="633"/>
      <c r="AW145" s="633"/>
      <c r="AX145" s="634"/>
      <c r="AY145" s="411"/>
      <c r="AZ145" s="412"/>
      <c r="BA145" s="412"/>
      <c r="BB145" s="412"/>
      <c r="BC145" s="412"/>
      <c r="BD145" s="412"/>
      <c r="BE145" s="412"/>
      <c r="BF145" s="413"/>
      <c r="BG145" s="588">
        <f>335*10</f>
        <v>3350</v>
      </c>
      <c r="BH145" s="589"/>
      <c r="BI145" s="589"/>
      <c r="BJ145" s="589"/>
      <c r="BK145" s="589"/>
      <c r="BL145" s="589"/>
      <c r="BM145" s="589"/>
      <c r="BN145" s="590"/>
      <c r="BO145" s="632">
        <f t="shared" si="15"/>
        <v>12557.747013698632</v>
      </c>
      <c r="BP145" s="633"/>
      <c r="BQ145" s="633"/>
      <c r="BR145" s="633"/>
      <c r="BS145" s="633"/>
      <c r="BT145" s="633"/>
      <c r="BU145" s="633"/>
      <c r="BV145" s="634"/>
      <c r="BW145" s="420"/>
      <c r="BX145" s="421"/>
      <c r="BY145" s="421"/>
      <c r="BZ145" s="421"/>
      <c r="CA145" s="421"/>
      <c r="CB145" s="421"/>
      <c r="CC145" s="421"/>
      <c r="CD145" s="422"/>
      <c r="CE145" s="420"/>
      <c r="CF145" s="421"/>
      <c r="CG145" s="421"/>
      <c r="CH145" s="421"/>
      <c r="CI145" s="421"/>
      <c r="CJ145" s="421"/>
      <c r="CK145" s="421"/>
      <c r="CL145" s="421"/>
      <c r="CM145" s="422"/>
      <c r="CN145" s="588">
        <f t="shared" si="18"/>
        <v>9600</v>
      </c>
      <c r="CO145" s="589"/>
      <c r="CP145" s="589"/>
      <c r="CQ145" s="589"/>
      <c r="CR145" s="589"/>
      <c r="CS145" s="589"/>
      <c r="CT145" s="589"/>
      <c r="CU145" s="590"/>
      <c r="CV145" s="583">
        <f t="shared" si="16"/>
        <v>117179.30021369865</v>
      </c>
      <c r="CW145" s="583"/>
      <c r="CX145" s="583"/>
      <c r="CY145" s="583"/>
      <c r="CZ145" s="583"/>
      <c r="DA145" s="583"/>
      <c r="DB145" s="583"/>
      <c r="DC145" s="583"/>
      <c r="DD145" s="583"/>
      <c r="DE145" s="584"/>
    </row>
    <row r="146" spans="1:110" s="2" customFormat="1" ht="23.25" customHeight="1">
      <c r="A146" s="612" t="s">
        <v>1273</v>
      </c>
      <c r="B146" s="601"/>
      <c r="C146" s="601"/>
      <c r="D146" s="601"/>
      <c r="E146" s="601"/>
      <c r="F146" s="601"/>
      <c r="G146" s="601"/>
      <c r="H146" s="601"/>
      <c r="I146" s="601"/>
      <c r="J146" s="601"/>
      <c r="K146" s="601"/>
      <c r="L146" s="601"/>
      <c r="M146" s="601"/>
      <c r="N146" s="601"/>
      <c r="O146" s="602"/>
      <c r="P146" s="600" t="s">
        <v>1269</v>
      </c>
      <c r="Q146" s="601"/>
      <c r="R146" s="601"/>
      <c r="S146" s="601"/>
      <c r="T146" s="601"/>
      <c r="U146" s="601"/>
      <c r="V146" s="601"/>
      <c r="W146" s="601"/>
      <c r="X146" s="601"/>
      <c r="Y146" s="601"/>
      <c r="Z146" s="601"/>
      <c r="AA146" s="601"/>
      <c r="AB146" s="601"/>
      <c r="AC146" s="602"/>
      <c r="AD146" s="414"/>
      <c r="AE146" s="415"/>
      <c r="AF146" s="416"/>
      <c r="AG146" s="613">
        <v>10</v>
      </c>
      <c r="AH146" s="614"/>
      <c r="AI146" s="614"/>
      <c r="AJ146" s="615"/>
      <c r="AK146" s="629">
        <f>251.21*30.41</f>
        <v>7639.2961000000005</v>
      </c>
      <c r="AL146" s="630"/>
      <c r="AM146" s="630"/>
      <c r="AN146" s="630"/>
      <c r="AO146" s="630"/>
      <c r="AP146" s="631"/>
      <c r="AQ146" s="632">
        <f t="shared" si="17"/>
        <v>916715.53200000012</v>
      </c>
      <c r="AR146" s="633"/>
      <c r="AS146" s="633"/>
      <c r="AT146" s="633"/>
      <c r="AU146" s="633"/>
      <c r="AV146" s="633"/>
      <c r="AW146" s="633"/>
      <c r="AX146" s="634"/>
      <c r="AY146" s="411"/>
      <c r="AZ146" s="412"/>
      <c r="BA146" s="412"/>
      <c r="BB146" s="412"/>
      <c r="BC146" s="412"/>
      <c r="BD146" s="412"/>
      <c r="BE146" s="412"/>
      <c r="BF146" s="413"/>
      <c r="BG146" s="588">
        <f>251.21*10*AG146</f>
        <v>25121</v>
      </c>
      <c r="BH146" s="589"/>
      <c r="BI146" s="589"/>
      <c r="BJ146" s="589"/>
      <c r="BK146" s="589"/>
      <c r="BL146" s="589"/>
      <c r="BM146" s="589"/>
      <c r="BN146" s="590"/>
      <c r="BO146" s="632">
        <f t="shared" si="15"/>
        <v>125577.47013698632</v>
      </c>
      <c r="BP146" s="633"/>
      <c r="BQ146" s="633"/>
      <c r="BR146" s="633"/>
      <c r="BS146" s="633"/>
      <c r="BT146" s="633"/>
      <c r="BU146" s="633"/>
      <c r="BV146" s="634"/>
      <c r="BW146" s="420"/>
      <c r="BX146" s="421"/>
      <c r="BY146" s="421"/>
      <c r="BZ146" s="421"/>
      <c r="CA146" s="421"/>
      <c r="CB146" s="421"/>
      <c r="CC146" s="421"/>
      <c r="CD146" s="422"/>
      <c r="CE146" s="420"/>
      <c r="CF146" s="421"/>
      <c r="CG146" s="421"/>
      <c r="CH146" s="421"/>
      <c r="CI146" s="421"/>
      <c r="CJ146" s="421"/>
      <c r="CK146" s="421"/>
      <c r="CL146" s="421"/>
      <c r="CM146" s="422"/>
      <c r="CN146" s="588">
        <f t="shared" si="18"/>
        <v>96000</v>
      </c>
      <c r="CO146" s="589"/>
      <c r="CP146" s="589"/>
      <c r="CQ146" s="589"/>
      <c r="CR146" s="589"/>
      <c r="CS146" s="589"/>
      <c r="CT146" s="589"/>
      <c r="CU146" s="590"/>
      <c r="CV146" s="583">
        <f t="shared" si="16"/>
        <v>1163414.0021369865</v>
      </c>
      <c r="CW146" s="583"/>
      <c r="CX146" s="583"/>
      <c r="CY146" s="583"/>
      <c r="CZ146" s="583"/>
      <c r="DA146" s="583"/>
      <c r="DB146" s="583"/>
      <c r="DC146" s="583"/>
      <c r="DD146" s="583"/>
      <c r="DE146" s="584"/>
    </row>
    <row r="147" spans="1:110" s="2" customFormat="1" ht="23.25" customHeight="1">
      <c r="A147" s="612" t="s">
        <v>1274</v>
      </c>
      <c r="B147" s="601"/>
      <c r="C147" s="601"/>
      <c r="D147" s="601"/>
      <c r="E147" s="601"/>
      <c r="F147" s="601"/>
      <c r="G147" s="601"/>
      <c r="H147" s="601"/>
      <c r="I147" s="601"/>
      <c r="J147" s="601"/>
      <c r="K147" s="601"/>
      <c r="L147" s="601"/>
      <c r="M147" s="601"/>
      <c r="N147" s="601"/>
      <c r="O147" s="602"/>
      <c r="P147" s="600" t="s">
        <v>1269</v>
      </c>
      <c r="Q147" s="601"/>
      <c r="R147" s="601"/>
      <c r="S147" s="601"/>
      <c r="T147" s="601"/>
      <c r="U147" s="601"/>
      <c r="V147" s="601"/>
      <c r="W147" s="601"/>
      <c r="X147" s="601"/>
      <c r="Y147" s="601"/>
      <c r="Z147" s="601"/>
      <c r="AA147" s="601"/>
      <c r="AB147" s="601"/>
      <c r="AC147" s="602"/>
      <c r="AD147" s="414"/>
      <c r="AE147" s="415"/>
      <c r="AF147" s="416"/>
      <c r="AG147" s="613">
        <v>1</v>
      </c>
      <c r="AH147" s="614"/>
      <c r="AI147" s="614"/>
      <c r="AJ147" s="615"/>
      <c r="AK147" s="629">
        <f>354.17*30.41</f>
        <v>10770.3097</v>
      </c>
      <c r="AL147" s="630"/>
      <c r="AM147" s="630"/>
      <c r="AN147" s="630"/>
      <c r="AO147" s="630"/>
      <c r="AP147" s="631"/>
      <c r="AQ147" s="632">
        <f t="shared" si="17"/>
        <v>129243.7164</v>
      </c>
      <c r="AR147" s="633"/>
      <c r="AS147" s="633"/>
      <c r="AT147" s="633"/>
      <c r="AU147" s="633"/>
      <c r="AV147" s="633"/>
      <c r="AW147" s="633"/>
      <c r="AX147" s="634"/>
      <c r="AY147" s="411"/>
      <c r="AZ147" s="412"/>
      <c r="BA147" s="412"/>
      <c r="BB147" s="412"/>
      <c r="BC147" s="412"/>
      <c r="BD147" s="412"/>
      <c r="BE147" s="412"/>
      <c r="BF147" s="413"/>
      <c r="BG147" s="588">
        <f>354.17*10</f>
        <v>3541.7000000000003</v>
      </c>
      <c r="BH147" s="589"/>
      <c r="BI147" s="589"/>
      <c r="BJ147" s="589"/>
      <c r="BK147" s="589"/>
      <c r="BL147" s="589"/>
      <c r="BM147" s="589"/>
      <c r="BN147" s="590"/>
      <c r="BO147" s="632">
        <f t="shared" si="15"/>
        <v>17704.618684931505</v>
      </c>
      <c r="BP147" s="633"/>
      <c r="BQ147" s="633"/>
      <c r="BR147" s="633"/>
      <c r="BS147" s="633"/>
      <c r="BT147" s="633"/>
      <c r="BU147" s="633"/>
      <c r="BV147" s="634"/>
      <c r="BW147" s="420"/>
      <c r="BX147" s="421"/>
      <c r="BY147" s="421"/>
      <c r="BZ147" s="421"/>
      <c r="CA147" s="421"/>
      <c r="CB147" s="421"/>
      <c r="CC147" s="421"/>
      <c r="CD147" s="422"/>
      <c r="CE147" s="420"/>
      <c r="CF147" s="421"/>
      <c r="CG147" s="421"/>
      <c r="CH147" s="421"/>
      <c r="CI147" s="421"/>
      <c r="CJ147" s="421"/>
      <c r="CK147" s="421"/>
      <c r="CL147" s="421"/>
      <c r="CM147" s="422"/>
      <c r="CN147" s="588">
        <f t="shared" si="18"/>
        <v>9600</v>
      </c>
      <c r="CO147" s="589"/>
      <c r="CP147" s="589"/>
      <c r="CQ147" s="589"/>
      <c r="CR147" s="589"/>
      <c r="CS147" s="589"/>
      <c r="CT147" s="589"/>
      <c r="CU147" s="590"/>
      <c r="CV147" s="583">
        <f t="shared" si="16"/>
        <v>160090.03508493153</v>
      </c>
      <c r="CW147" s="583"/>
      <c r="CX147" s="583"/>
      <c r="CY147" s="583"/>
      <c r="CZ147" s="583"/>
      <c r="DA147" s="583"/>
      <c r="DB147" s="583"/>
      <c r="DC147" s="583"/>
      <c r="DD147" s="583"/>
      <c r="DE147" s="584"/>
    </row>
    <row r="148" spans="1:110" s="2" customFormat="1" ht="23.25" customHeight="1" thickBot="1">
      <c r="A148" s="612" t="s">
        <v>1275</v>
      </c>
      <c r="B148" s="601"/>
      <c r="C148" s="601"/>
      <c r="D148" s="601"/>
      <c r="E148" s="601"/>
      <c r="F148" s="601"/>
      <c r="G148" s="601"/>
      <c r="H148" s="601"/>
      <c r="I148" s="601"/>
      <c r="J148" s="601"/>
      <c r="K148" s="601"/>
      <c r="L148" s="601"/>
      <c r="M148" s="601"/>
      <c r="N148" s="601"/>
      <c r="O148" s="602"/>
      <c r="P148" s="600" t="s">
        <v>1269</v>
      </c>
      <c r="Q148" s="601"/>
      <c r="R148" s="601"/>
      <c r="S148" s="601"/>
      <c r="T148" s="601"/>
      <c r="U148" s="601"/>
      <c r="V148" s="601"/>
      <c r="W148" s="601"/>
      <c r="X148" s="601"/>
      <c r="Y148" s="601"/>
      <c r="Z148" s="601"/>
      <c r="AA148" s="601"/>
      <c r="AB148" s="601"/>
      <c r="AC148" s="602"/>
      <c r="AD148" s="414"/>
      <c r="AE148" s="415"/>
      <c r="AF148" s="416"/>
      <c r="AG148" s="613">
        <v>4</v>
      </c>
      <c r="AH148" s="614"/>
      <c r="AI148" s="614"/>
      <c r="AJ148" s="615"/>
      <c r="AK148" s="629">
        <f>251.21*30.41</f>
        <v>7639.2961000000005</v>
      </c>
      <c r="AL148" s="630"/>
      <c r="AM148" s="630"/>
      <c r="AN148" s="630"/>
      <c r="AO148" s="630"/>
      <c r="AP148" s="631"/>
      <c r="AQ148" s="632">
        <f t="shared" si="17"/>
        <v>366686.21280000004</v>
      </c>
      <c r="AR148" s="633"/>
      <c r="AS148" s="633"/>
      <c r="AT148" s="633"/>
      <c r="AU148" s="633"/>
      <c r="AV148" s="633"/>
      <c r="AW148" s="633"/>
      <c r="AX148" s="634"/>
      <c r="AY148" s="411"/>
      <c r="AZ148" s="412"/>
      <c r="BA148" s="412"/>
      <c r="BB148" s="412"/>
      <c r="BC148" s="412"/>
      <c r="BD148" s="412"/>
      <c r="BE148" s="412"/>
      <c r="BF148" s="413"/>
      <c r="BG148" s="588">
        <f>354.21*10*AG148</f>
        <v>14168.4</v>
      </c>
      <c r="BH148" s="589"/>
      <c r="BI148" s="589"/>
      <c r="BJ148" s="589"/>
      <c r="BK148" s="589"/>
      <c r="BL148" s="589"/>
      <c r="BM148" s="589"/>
      <c r="BN148" s="590"/>
      <c r="BO148" s="632">
        <f t="shared" si="15"/>
        <v>50230.988054794529</v>
      </c>
      <c r="BP148" s="633"/>
      <c r="BQ148" s="633"/>
      <c r="BR148" s="633"/>
      <c r="BS148" s="633"/>
      <c r="BT148" s="633"/>
      <c r="BU148" s="633"/>
      <c r="BV148" s="634"/>
      <c r="BW148" s="420"/>
      <c r="BX148" s="421"/>
      <c r="BY148" s="421"/>
      <c r="BZ148" s="421"/>
      <c r="CA148" s="421"/>
      <c r="CB148" s="421"/>
      <c r="CC148" s="421"/>
      <c r="CD148" s="422"/>
      <c r="CE148" s="420"/>
      <c r="CF148" s="421"/>
      <c r="CG148" s="421"/>
      <c r="CH148" s="421"/>
      <c r="CI148" s="421"/>
      <c r="CJ148" s="421"/>
      <c r="CK148" s="421"/>
      <c r="CL148" s="421"/>
      <c r="CM148" s="422"/>
      <c r="CN148" s="588">
        <f t="shared" si="18"/>
        <v>38400</v>
      </c>
      <c r="CO148" s="589"/>
      <c r="CP148" s="589"/>
      <c r="CQ148" s="589"/>
      <c r="CR148" s="589"/>
      <c r="CS148" s="589"/>
      <c r="CT148" s="589"/>
      <c r="CU148" s="590"/>
      <c r="CV148" s="583">
        <f t="shared" si="16"/>
        <v>469485.60085479461</v>
      </c>
      <c r="CW148" s="583"/>
      <c r="CX148" s="583"/>
      <c r="CY148" s="583"/>
      <c r="CZ148" s="583"/>
      <c r="DA148" s="583"/>
      <c r="DB148" s="583"/>
      <c r="DC148" s="583"/>
      <c r="DD148" s="583"/>
      <c r="DE148" s="584"/>
    </row>
    <row r="149" spans="1:110" s="2" customFormat="1" ht="24.95" customHeight="1" thickBot="1">
      <c r="A149" s="639" t="s">
        <v>571</v>
      </c>
      <c r="B149" s="640"/>
      <c r="C149" s="640"/>
      <c r="D149" s="640"/>
      <c r="E149" s="640"/>
      <c r="F149" s="640"/>
      <c r="G149" s="640"/>
      <c r="H149" s="640"/>
      <c r="I149" s="640"/>
      <c r="J149" s="640"/>
      <c r="K149" s="640"/>
      <c r="L149" s="640"/>
      <c r="M149" s="640"/>
      <c r="N149" s="640"/>
      <c r="O149" s="640"/>
      <c r="P149" s="640"/>
      <c r="Q149" s="640"/>
      <c r="R149" s="640"/>
      <c r="S149" s="640"/>
      <c r="T149" s="640"/>
      <c r="U149" s="640"/>
      <c r="V149" s="640"/>
      <c r="W149" s="640"/>
      <c r="X149" s="640"/>
      <c r="Y149" s="640"/>
      <c r="Z149" s="640"/>
      <c r="AA149" s="640"/>
      <c r="AB149" s="640"/>
      <c r="AC149" s="640"/>
      <c r="AD149" s="640"/>
      <c r="AE149" s="640"/>
      <c r="AF149" s="641"/>
      <c r="AG149" s="642">
        <f>SUM(AG8:AJ148)</f>
        <v>200</v>
      </c>
      <c r="AH149" s="642"/>
      <c r="AI149" s="642"/>
      <c r="AJ149" s="642"/>
      <c r="AK149" s="643">
        <f>SUM(AK8:AP148)</f>
        <v>1394349.3602999998</v>
      </c>
      <c r="AL149" s="643"/>
      <c r="AM149" s="643"/>
      <c r="AN149" s="643"/>
      <c r="AO149" s="643"/>
      <c r="AP149" s="643"/>
      <c r="AQ149" s="635">
        <f>SUM(AQ8:AX148)</f>
        <v>23289509.138399996</v>
      </c>
      <c r="AR149" s="635"/>
      <c r="AS149" s="635"/>
      <c r="AT149" s="635"/>
      <c r="AU149" s="635"/>
      <c r="AV149" s="635"/>
      <c r="AW149" s="635"/>
      <c r="AX149" s="635"/>
      <c r="AY149" s="635">
        <f>SUM(AY8:BF148)</f>
        <v>0</v>
      </c>
      <c r="AZ149" s="635"/>
      <c r="BA149" s="635"/>
      <c r="BB149" s="635"/>
      <c r="BC149" s="635"/>
      <c r="BD149" s="635"/>
      <c r="BE149" s="635"/>
      <c r="BF149" s="635"/>
      <c r="BG149" s="635">
        <f>SUM(BG8:BN148)</f>
        <v>547949.80000000063</v>
      </c>
      <c r="BH149" s="635"/>
      <c r="BI149" s="635"/>
      <c r="BJ149" s="635"/>
      <c r="BK149" s="635"/>
      <c r="BL149" s="635"/>
      <c r="BM149" s="635"/>
      <c r="BN149" s="635"/>
      <c r="BO149" s="635">
        <f>SUM(BO8:BV148)</f>
        <v>3190343.7175890445</v>
      </c>
      <c r="BP149" s="635"/>
      <c r="BQ149" s="635"/>
      <c r="BR149" s="635"/>
      <c r="BS149" s="635"/>
      <c r="BT149" s="635"/>
      <c r="BU149" s="635"/>
      <c r="BV149" s="635"/>
      <c r="BW149" s="635">
        <f>SUM(BW8:CD148)</f>
        <v>0</v>
      </c>
      <c r="BX149" s="635"/>
      <c r="BY149" s="635"/>
      <c r="BZ149" s="635"/>
      <c r="CA149" s="635"/>
      <c r="CB149" s="635"/>
      <c r="CC149" s="635"/>
      <c r="CD149" s="635"/>
      <c r="CE149" s="635">
        <f>SUM(CE8:CM148)</f>
        <v>0</v>
      </c>
      <c r="CF149" s="635"/>
      <c r="CG149" s="635"/>
      <c r="CH149" s="635"/>
      <c r="CI149" s="635"/>
      <c r="CJ149" s="635"/>
      <c r="CK149" s="635"/>
      <c r="CL149" s="635"/>
      <c r="CM149" s="635"/>
      <c r="CN149" s="635">
        <f>SUM(CN8:CU148)</f>
        <v>1401600</v>
      </c>
      <c r="CO149" s="635"/>
      <c r="CP149" s="635"/>
      <c r="CQ149" s="635"/>
      <c r="CR149" s="635"/>
      <c r="CS149" s="635"/>
      <c r="CT149" s="635"/>
      <c r="CU149" s="635"/>
      <c r="CV149" s="635">
        <f>SUM(CV8:DE148)</f>
        <v>28429402.655989066</v>
      </c>
      <c r="CW149" s="635"/>
      <c r="CX149" s="635"/>
      <c r="CY149" s="635"/>
      <c r="CZ149" s="635"/>
      <c r="DA149" s="635"/>
      <c r="DB149" s="635"/>
      <c r="DC149" s="635"/>
      <c r="DD149" s="635"/>
      <c r="DE149" s="636"/>
      <c r="DF149" s="25"/>
    </row>
    <row r="150" spans="1:110" s="2" customFormat="1" ht="24.95" customHeight="1">
      <c r="BO150" s="637"/>
      <c r="BP150" s="638"/>
      <c r="BQ150" s="638"/>
      <c r="BR150" s="638"/>
      <c r="BS150" s="638"/>
      <c r="BT150" s="638"/>
      <c r="BU150" s="638"/>
      <c r="BV150" s="638"/>
    </row>
    <row r="151" spans="1:110" s="2" customFormat="1" ht="12.75"/>
    <row r="152" spans="1:110" s="2" customFormat="1" ht="12.75"/>
    <row r="153" spans="1:110" s="2" customFormat="1" ht="12.75"/>
    <row r="154" spans="1:110" s="2" customFormat="1" ht="12.75"/>
    <row r="155" spans="1:110" s="2" customFormat="1" ht="12.75"/>
    <row r="156" spans="1:110" s="2" customFormat="1" ht="12.75"/>
    <row r="157" spans="1:110" s="2" customFormat="1" ht="12.75"/>
    <row r="158" spans="1:110" s="2" customFormat="1" ht="12.75"/>
    <row r="159" spans="1:110" s="2" customFormat="1" ht="12.75"/>
    <row r="160" spans="1:11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sheetData>
  <sheetProtection formatCells="0" formatColumns="0" formatRows="0" insertRows="0"/>
  <mergeCells count="1655">
    <mergeCell ref="BW149:CD149"/>
    <mergeCell ref="CE149:CM149"/>
    <mergeCell ref="CN149:CU149"/>
    <mergeCell ref="CV149:DE149"/>
    <mergeCell ref="BO150:BV150"/>
    <mergeCell ref="BO148:BV148"/>
    <mergeCell ref="CN148:CU148"/>
    <mergeCell ref="CV148:DE148"/>
    <mergeCell ref="A149:AF149"/>
    <mergeCell ref="AG149:AJ149"/>
    <mergeCell ref="AK149:AP149"/>
    <mergeCell ref="AQ149:AX149"/>
    <mergeCell ref="AY149:BF149"/>
    <mergeCell ref="BG149:BN149"/>
    <mergeCell ref="BO149:BV149"/>
    <mergeCell ref="A148:O148"/>
    <mergeCell ref="P148:AC148"/>
    <mergeCell ref="AG148:AJ148"/>
    <mergeCell ref="AK148:AP148"/>
    <mergeCell ref="AQ148:AX148"/>
    <mergeCell ref="BG148:BN148"/>
    <mergeCell ref="CV146:DE146"/>
    <mergeCell ref="A147:O147"/>
    <mergeCell ref="P147:AC147"/>
    <mergeCell ref="AG147:AJ147"/>
    <mergeCell ref="AK147:AP147"/>
    <mergeCell ref="AQ147:AX147"/>
    <mergeCell ref="BG147:BN147"/>
    <mergeCell ref="BO147:BV147"/>
    <mergeCell ref="CN147:CU147"/>
    <mergeCell ref="CV147:DE147"/>
    <mergeCell ref="CN145:CU145"/>
    <mergeCell ref="CV145:DE145"/>
    <mergeCell ref="A146:O146"/>
    <mergeCell ref="P146:AC146"/>
    <mergeCell ref="AG146:AJ146"/>
    <mergeCell ref="AK146:AP146"/>
    <mergeCell ref="AQ146:AX146"/>
    <mergeCell ref="BG146:BN146"/>
    <mergeCell ref="BO146:BV146"/>
    <mergeCell ref="CN146:CU146"/>
    <mergeCell ref="BO144:BV144"/>
    <mergeCell ref="CN144:CU144"/>
    <mergeCell ref="CV144:DE144"/>
    <mergeCell ref="A145:O145"/>
    <mergeCell ref="P145:AC145"/>
    <mergeCell ref="AG145:AJ145"/>
    <mergeCell ref="AK145:AP145"/>
    <mergeCell ref="AQ145:AX145"/>
    <mergeCell ref="BG145:BN145"/>
    <mergeCell ref="BO145:BV145"/>
    <mergeCell ref="A144:O144"/>
    <mergeCell ref="P144:AC144"/>
    <mergeCell ref="AG144:AJ144"/>
    <mergeCell ref="AK144:AP144"/>
    <mergeCell ref="AQ144:AX144"/>
    <mergeCell ref="BG144:BN144"/>
    <mergeCell ref="CV142:DE142"/>
    <mergeCell ref="A143:O143"/>
    <mergeCell ref="P143:AC143"/>
    <mergeCell ref="AG143:AJ143"/>
    <mergeCell ref="AK143:AP143"/>
    <mergeCell ref="AQ143:AX143"/>
    <mergeCell ref="BG143:BN143"/>
    <mergeCell ref="BO143:BV143"/>
    <mergeCell ref="CN143:CU143"/>
    <mergeCell ref="CV143:DE143"/>
    <mergeCell ref="CN141:CU141"/>
    <mergeCell ref="CV141:DE141"/>
    <mergeCell ref="A142:O142"/>
    <mergeCell ref="P142:AC142"/>
    <mergeCell ref="AG142:AJ142"/>
    <mergeCell ref="AK142:AP142"/>
    <mergeCell ref="AQ142:AX142"/>
    <mergeCell ref="BG142:BN142"/>
    <mergeCell ref="BO142:BV142"/>
    <mergeCell ref="CN142:CU142"/>
    <mergeCell ref="BO140:BV140"/>
    <mergeCell ref="CN140:CU140"/>
    <mergeCell ref="CV140:DE140"/>
    <mergeCell ref="A141:O141"/>
    <mergeCell ref="P141:AC141"/>
    <mergeCell ref="AG141:AJ141"/>
    <mergeCell ref="AK141:AP141"/>
    <mergeCell ref="AQ141:AX141"/>
    <mergeCell ref="BG141:BN141"/>
    <mergeCell ref="BO141:BV141"/>
    <mergeCell ref="A140:O140"/>
    <mergeCell ref="P140:AC140"/>
    <mergeCell ref="AG140:AJ140"/>
    <mergeCell ref="AK140:AP140"/>
    <mergeCell ref="AQ140:AX140"/>
    <mergeCell ref="BG140:BN140"/>
    <mergeCell ref="CV138:DE138"/>
    <mergeCell ref="A139:O139"/>
    <mergeCell ref="P139:AC139"/>
    <mergeCell ref="AG139:AJ139"/>
    <mergeCell ref="AK139:AP139"/>
    <mergeCell ref="AQ139:AX139"/>
    <mergeCell ref="BG139:BN139"/>
    <mergeCell ref="BO139:BV139"/>
    <mergeCell ref="CN139:CU139"/>
    <mergeCell ref="CV139:DE139"/>
    <mergeCell ref="AY138:BF138"/>
    <mergeCell ref="BG138:BN138"/>
    <mergeCell ref="BO138:BV138"/>
    <mergeCell ref="BW138:CD138"/>
    <mergeCell ref="CE138:CM138"/>
    <mergeCell ref="CN138:CU138"/>
    <mergeCell ref="A138:O138"/>
    <mergeCell ref="P138:AC138"/>
    <mergeCell ref="AD138:AF138"/>
    <mergeCell ref="AG138:AJ138"/>
    <mergeCell ref="AK138:AP138"/>
    <mergeCell ref="AQ138:AX138"/>
    <mergeCell ref="BG137:BN137"/>
    <mergeCell ref="BO137:BV137"/>
    <mergeCell ref="BW137:CD137"/>
    <mergeCell ref="CE137:CM137"/>
    <mergeCell ref="CN137:CU137"/>
    <mergeCell ref="CV137:DE137"/>
    <mergeCell ref="BO136:BV136"/>
    <mergeCell ref="CN136:CU136"/>
    <mergeCell ref="CV136:DE136"/>
    <mergeCell ref="A137:O137"/>
    <mergeCell ref="P137:AC137"/>
    <mergeCell ref="AD137:AF137"/>
    <mergeCell ref="AG137:AJ137"/>
    <mergeCell ref="AK137:AP137"/>
    <mergeCell ref="AQ137:AX137"/>
    <mergeCell ref="AY137:BF137"/>
    <mergeCell ref="A136:O136"/>
    <mergeCell ref="P136:AC136"/>
    <mergeCell ref="AG136:AJ136"/>
    <mergeCell ref="AK136:AP136"/>
    <mergeCell ref="AQ136:AX136"/>
    <mergeCell ref="BG136:BN136"/>
    <mergeCell ref="CV134:DE134"/>
    <mergeCell ref="A135:O135"/>
    <mergeCell ref="P135:AC135"/>
    <mergeCell ref="AG135:AJ135"/>
    <mergeCell ref="AK135:AP135"/>
    <mergeCell ref="AQ135:AX135"/>
    <mergeCell ref="BG135:BN135"/>
    <mergeCell ref="BO135:BV135"/>
    <mergeCell ref="CN135:CU135"/>
    <mergeCell ref="CV135:DE135"/>
    <mergeCell ref="CN133:CU133"/>
    <mergeCell ref="CV133:DE133"/>
    <mergeCell ref="A134:O134"/>
    <mergeCell ref="P134:AC134"/>
    <mergeCell ref="AG134:AJ134"/>
    <mergeCell ref="AK134:AP134"/>
    <mergeCell ref="AQ134:AX134"/>
    <mergeCell ref="BG134:BN134"/>
    <mergeCell ref="BO134:BV134"/>
    <mergeCell ref="CN134:CU134"/>
    <mergeCell ref="BO132:BV132"/>
    <mergeCell ref="CN132:CU132"/>
    <mergeCell ref="CV132:DE132"/>
    <mergeCell ref="A133:O133"/>
    <mergeCell ref="P133:AC133"/>
    <mergeCell ref="AG133:AJ133"/>
    <mergeCell ref="AK133:AP133"/>
    <mergeCell ref="AQ133:AX133"/>
    <mergeCell ref="BG133:BN133"/>
    <mergeCell ref="BO133:BV133"/>
    <mergeCell ref="A132:O132"/>
    <mergeCell ref="P132:AC132"/>
    <mergeCell ref="AG132:AJ132"/>
    <mergeCell ref="AK132:AP132"/>
    <mergeCell ref="AQ132:AX132"/>
    <mergeCell ref="BG132:BN132"/>
    <mergeCell ref="CV130:DE130"/>
    <mergeCell ref="A131:O131"/>
    <mergeCell ref="P131:AC131"/>
    <mergeCell ref="AG131:AJ131"/>
    <mergeCell ref="AK131:AP131"/>
    <mergeCell ref="AQ131:AX131"/>
    <mergeCell ref="BG131:BN131"/>
    <mergeCell ref="BO131:BV131"/>
    <mergeCell ref="CN131:CU131"/>
    <mergeCell ref="CV131:DE131"/>
    <mergeCell ref="CN129:CU129"/>
    <mergeCell ref="CV129:DE129"/>
    <mergeCell ref="A130:O130"/>
    <mergeCell ref="P130:AC130"/>
    <mergeCell ref="AG130:AJ130"/>
    <mergeCell ref="AK130:AP130"/>
    <mergeCell ref="AQ130:AX130"/>
    <mergeCell ref="BG130:BN130"/>
    <mergeCell ref="BO130:BV130"/>
    <mergeCell ref="CN130:CU130"/>
    <mergeCell ref="BO128:BV128"/>
    <mergeCell ref="CN128:CU128"/>
    <mergeCell ref="CV128:DE128"/>
    <mergeCell ref="A129:O129"/>
    <mergeCell ref="P129:AC129"/>
    <mergeCell ref="AG129:AJ129"/>
    <mergeCell ref="AK129:AP129"/>
    <mergeCell ref="AQ129:AX129"/>
    <mergeCell ref="BG129:BN129"/>
    <mergeCell ref="BO129:BV129"/>
    <mergeCell ref="A128:O128"/>
    <mergeCell ref="P128:AC128"/>
    <mergeCell ref="AG128:AJ128"/>
    <mergeCell ref="AK128:AP128"/>
    <mergeCell ref="AQ128:AX128"/>
    <mergeCell ref="BG128:BN128"/>
    <mergeCell ref="CV126:DE126"/>
    <mergeCell ref="A127:O127"/>
    <mergeCell ref="P127:AC127"/>
    <mergeCell ref="AG127:AJ127"/>
    <mergeCell ref="AK127:AP127"/>
    <mergeCell ref="AQ127:AX127"/>
    <mergeCell ref="BG127:BN127"/>
    <mergeCell ref="BO127:BV127"/>
    <mergeCell ref="CN127:CU127"/>
    <mergeCell ref="CV127:DE127"/>
    <mergeCell ref="CN125:CU125"/>
    <mergeCell ref="CV125:DE125"/>
    <mergeCell ref="A126:O126"/>
    <mergeCell ref="P126:AC126"/>
    <mergeCell ref="AG126:AJ126"/>
    <mergeCell ref="AK126:AP126"/>
    <mergeCell ref="AQ126:AX126"/>
    <mergeCell ref="BG126:BN126"/>
    <mergeCell ref="BO126:BV126"/>
    <mergeCell ref="CN126:CU126"/>
    <mergeCell ref="BO124:BV124"/>
    <mergeCell ref="CN124:CU124"/>
    <mergeCell ref="CV124:DE124"/>
    <mergeCell ref="A125:O125"/>
    <mergeCell ref="P125:AC125"/>
    <mergeCell ref="AG125:AJ125"/>
    <mergeCell ref="AK125:AP125"/>
    <mergeCell ref="AQ125:AX125"/>
    <mergeCell ref="BG125:BN125"/>
    <mergeCell ref="BO125:BV125"/>
    <mergeCell ref="A124:O124"/>
    <mergeCell ref="P124:AC124"/>
    <mergeCell ref="AG124:AJ124"/>
    <mergeCell ref="AK124:AP124"/>
    <mergeCell ref="AQ124:AX124"/>
    <mergeCell ref="BG124:BN124"/>
    <mergeCell ref="CV122:DE122"/>
    <mergeCell ref="A123:O123"/>
    <mergeCell ref="P123:AC123"/>
    <mergeCell ref="AG123:AJ123"/>
    <mergeCell ref="AK123:AP123"/>
    <mergeCell ref="AQ123:AX123"/>
    <mergeCell ref="BG123:BN123"/>
    <mergeCell ref="BO123:BV123"/>
    <mergeCell ref="CN123:CU123"/>
    <mergeCell ref="CV123:DE123"/>
    <mergeCell ref="CN121:CU121"/>
    <mergeCell ref="CV121:DE121"/>
    <mergeCell ref="A122:O122"/>
    <mergeCell ref="P122:AC122"/>
    <mergeCell ref="AG122:AJ122"/>
    <mergeCell ref="AK122:AP122"/>
    <mergeCell ref="AQ122:AX122"/>
    <mergeCell ref="BG122:BN122"/>
    <mergeCell ref="BO122:BV122"/>
    <mergeCell ref="CN122:CU122"/>
    <mergeCell ref="BO120:BV120"/>
    <mergeCell ref="CN120:CU120"/>
    <mergeCell ref="CV120:DE120"/>
    <mergeCell ref="A121:O121"/>
    <mergeCell ref="P121:AC121"/>
    <mergeCell ref="AG121:AJ121"/>
    <mergeCell ref="AK121:AP121"/>
    <mergeCell ref="AQ121:AX121"/>
    <mergeCell ref="BG121:BN121"/>
    <mergeCell ref="BO121:BV121"/>
    <mergeCell ref="A120:O120"/>
    <mergeCell ref="P120:AC120"/>
    <mergeCell ref="AG120:AJ120"/>
    <mergeCell ref="AK120:AP120"/>
    <mergeCell ref="AQ120:AX120"/>
    <mergeCell ref="BG120:BN120"/>
    <mergeCell ref="CV118:DE118"/>
    <mergeCell ref="A119:O119"/>
    <mergeCell ref="P119:AC119"/>
    <mergeCell ref="AG119:AJ119"/>
    <mergeCell ref="AK119:AP119"/>
    <mergeCell ref="AQ119:AX119"/>
    <mergeCell ref="BG119:BN119"/>
    <mergeCell ref="BO119:BV119"/>
    <mergeCell ref="CN119:CU119"/>
    <mergeCell ref="CV119:DE119"/>
    <mergeCell ref="CN117:CU117"/>
    <mergeCell ref="CV117:DE117"/>
    <mergeCell ref="A118:O118"/>
    <mergeCell ref="P118:AC118"/>
    <mergeCell ref="AG118:AJ118"/>
    <mergeCell ref="AK118:AP118"/>
    <mergeCell ref="AQ118:AX118"/>
    <mergeCell ref="BG118:BN118"/>
    <mergeCell ref="BO118:BV118"/>
    <mergeCell ref="CN118:CU118"/>
    <mergeCell ref="BO116:BV116"/>
    <mergeCell ref="CN116:CU116"/>
    <mergeCell ref="CV116:DE116"/>
    <mergeCell ref="A117:O117"/>
    <mergeCell ref="P117:AC117"/>
    <mergeCell ref="AG117:AJ117"/>
    <mergeCell ref="AK117:AP117"/>
    <mergeCell ref="AQ117:AX117"/>
    <mergeCell ref="BG117:BN117"/>
    <mergeCell ref="BO117:BV117"/>
    <mergeCell ref="A116:O116"/>
    <mergeCell ref="P116:AC116"/>
    <mergeCell ref="AG116:AJ116"/>
    <mergeCell ref="AK116:AP116"/>
    <mergeCell ref="AQ116:AX116"/>
    <mergeCell ref="BG116:BN116"/>
    <mergeCell ref="CV114:DE114"/>
    <mergeCell ref="A115:O115"/>
    <mergeCell ref="P115:AC115"/>
    <mergeCell ref="AG115:AJ115"/>
    <mergeCell ref="AK115:AP115"/>
    <mergeCell ref="AQ115:AX115"/>
    <mergeCell ref="BG115:BN115"/>
    <mergeCell ref="BO115:BV115"/>
    <mergeCell ref="CN115:CU115"/>
    <mergeCell ref="CV115:DE115"/>
    <mergeCell ref="CN113:CU113"/>
    <mergeCell ref="CV113:DE113"/>
    <mergeCell ref="A114:O114"/>
    <mergeCell ref="P114:AC114"/>
    <mergeCell ref="AG114:AJ114"/>
    <mergeCell ref="AK114:AP114"/>
    <mergeCell ref="AQ114:AX114"/>
    <mergeCell ref="BG114:BN114"/>
    <mergeCell ref="BO114:BV114"/>
    <mergeCell ref="CN114:CU114"/>
    <mergeCell ref="BO112:BV112"/>
    <mergeCell ref="CN112:CU112"/>
    <mergeCell ref="CV112:DE112"/>
    <mergeCell ref="A113:O113"/>
    <mergeCell ref="P113:AC113"/>
    <mergeCell ref="AG113:AJ113"/>
    <mergeCell ref="AK113:AP113"/>
    <mergeCell ref="AQ113:AX113"/>
    <mergeCell ref="BG113:BN113"/>
    <mergeCell ref="BO113:BV113"/>
    <mergeCell ref="A112:O112"/>
    <mergeCell ref="P112:AC112"/>
    <mergeCell ref="AG112:AJ112"/>
    <mergeCell ref="AK112:AP112"/>
    <mergeCell ref="AQ112:AX112"/>
    <mergeCell ref="BG112:BN112"/>
    <mergeCell ref="CV110:DE110"/>
    <mergeCell ref="A111:O111"/>
    <mergeCell ref="P111:AC111"/>
    <mergeCell ref="AG111:AJ111"/>
    <mergeCell ref="AK111:AP111"/>
    <mergeCell ref="AQ111:AX111"/>
    <mergeCell ref="BG111:BN111"/>
    <mergeCell ref="BO111:BV111"/>
    <mergeCell ref="CN111:CU111"/>
    <mergeCell ref="CV111:DE111"/>
    <mergeCell ref="CN109:CU109"/>
    <mergeCell ref="CV109:DE109"/>
    <mergeCell ref="A110:O110"/>
    <mergeCell ref="P110:AC110"/>
    <mergeCell ref="AG110:AJ110"/>
    <mergeCell ref="AK110:AP110"/>
    <mergeCell ref="AQ110:AX110"/>
    <mergeCell ref="BG110:BN110"/>
    <mergeCell ref="BO110:BV110"/>
    <mergeCell ref="CN110:CU110"/>
    <mergeCell ref="BO108:BV108"/>
    <mergeCell ref="CN108:CU108"/>
    <mergeCell ref="CV108:DE108"/>
    <mergeCell ref="A109:O109"/>
    <mergeCell ref="P109:AC109"/>
    <mergeCell ref="AG109:AJ109"/>
    <mergeCell ref="AK109:AP109"/>
    <mergeCell ref="AQ109:AX109"/>
    <mergeCell ref="BG109:BN109"/>
    <mergeCell ref="BO109:BV109"/>
    <mergeCell ref="A108:O108"/>
    <mergeCell ref="P108:AC108"/>
    <mergeCell ref="AG108:AJ108"/>
    <mergeCell ref="AK108:AP108"/>
    <mergeCell ref="AQ108:AX108"/>
    <mergeCell ref="BG108:BN108"/>
    <mergeCell ref="CV106:DE106"/>
    <mergeCell ref="A107:O107"/>
    <mergeCell ref="P107:AC107"/>
    <mergeCell ref="AG107:AJ107"/>
    <mergeCell ref="AK107:AP107"/>
    <mergeCell ref="AQ107:AX107"/>
    <mergeCell ref="BG107:BN107"/>
    <mergeCell ref="BO107:BV107"/>
    <mergeCell ref="CN107:CU107"/>
    <mergeCell ref="CV107:DE107"/>
    <mergeCell ref="CN105:CU105"/>
    <mergeCell ref="CV105:DE105"/>
    <mergeCell ref="A106:O106"/>
    <mergeCell ref="P106:AC106"/>
    <mergeCell ref="AG106:AJ106"/>
    <mergeCell ref="AK106:AP106"/>
    <mergeCell ref="AQ106:AX106"/>
    <mergeCell ref="BG106:BN106"/>
    <mergeCell ref="BO106:BV106"/>
    <mergeCell ref="CN106:CU106"/>
    <mergeCell ref="BO104:BV104"/>
    <mergeCell ref="CN104:CU104"/>
    <mergeCell ref="CV104:DE104"/>
    <mergeCell ref="A105:O105"/>
    <mergeCell ref="P105:AC105"/>
    <mergeCell ref="AG105:AJ105"/>
    <mergeCell ref="AK105:AP105"/>
    <mergeCell ref="AQ105:AX105"/>
    <mergeCell ref="BG105:BN105"/>
    <mergeCell ref="BO105:BV105"/>
    <mergeCell ref="A104:O104"/>
    <mergeCell ref="P104:AC104"/>
    <mergeCell ref="AG104:AJ104"/>
    <mergeCell ref="AK104:AP104"/>
    <mergeCell ref="AQ104:AX104"/>
    <mergeCell ref="BG104:BN104"/>
    <mergeCell ref="CV102:DE102"/>
    <mergeCell ref="A103:O103"/>
    <mergeCell ref="P103:AC103"/>
    <mergeCell ref="AG103:AJ103"/>
    <mergeCell ref="AK103:AP103"/>
    <mergeCell ref="AQ103:AX103"/>
    <mergeCell ref="BG103:BN103"/>
    <mergeCell ref="BO103:BV103"/>
    <mergeCell ref="CN103:CU103"/>
    <mergeCell ref="CV103:DE103"/>
    <mergeCell ref="CN101:CU101"/>
    <mergeCell ref="CV101:DE101"/>
    <mergeCell ref="A102:O102"/>
    <mergeCell ref="P102:AC102"/>
    <mergeCell ref="AG102:AJ102"/>
    <mergeCell ref="AK102:AP102"/>
    <mergeCell ref="AQ102:AX102"/>
    <mergeCell ref="BG102:BN102"/>
    <mergeCell ref="BO102:BV102"/>
    <mergeCell ref="CN102:CU102"/>
    <mergeCell ref="BO100:BV100"/>
    <mergeCell ref="CN100:CU100"/>
    <mergeCell ref="CV100:DE100"/>
    <mergeCell ref="A101:O101"/>
    <mergeCell ref="P101:AC101"/>
    <mergeCell ref="AG101:AJ101"/>
    <mergeCell ref="AK101:AP101"/>
    <mergeCell ref="AQ101:AX101"/>
    <mergeCell ref="BG101:BN101"/>
    <mergeCell ref="BO101:BV101"/>
    <mergeCell ref="A100:O100"/>
    <mergeCell ref="P100:AC100"/>
    <mergeCell ref="AG100:AJ100"/>
    <mergeCell ref="AK100:AP100"/>
    <mergeCell ref="AQ100:AX100"/>
    <mergeCell ref="BG100:BN100"/>
    <mergeCell ref="CV98:DE98"/>
    <mergeCell ref="A99:O99"/>
    <mergeCell ref="P99:AC99"/>
    <mergeCell ref="AG99:AJ99"/>
    <mergeCell ref="AK99:AP99"/>
    <mergeCell ref="AQ99:AX99"/>
    <mergeCell ref="BG99:BN99"/>
    <mergeCell ref="BO99:BV99"/>
    <mergeCell ref="CN99:CU99"/>
    <mergeCell ref="CV99:DE99"/>
    <mergeCell ref="CN97:CU97"/>
    <mergeCell ref="CV97:DE97"/>
    <mergeCell ref="A98:O98"/>
    <mergeCell ref="P98:AC98"/>
    <mergeCell ref="AG98:AJ98"/>
    <mergeCell ref="AK98:AP98"/>
    <mergeCell ref="AQ98:AX98"/>
    <mergeCell ref="BG98:BN98"/>
    <mergeCell ref="BO98:BV98"/>
    <mergeCell ref="CN98:CU98"/>
    <mergeCell ref="BO96:BV96"/>
    <mergeCell ref="CN96:CU96"/>
    <mergeCell ref="CV96:DE96"/>
    <mergeCell ref="A97:O97"/>
    <mergeCell ref="P97:AC97"/>
    <mergeCell ref="AG97:AJ97"/>
    <mergeCell ref="AK97:AP97"/>
    <mergeCell ref="AQ97:AX97"/>
    <mergeCell ref="BG97:BN97"/>
    <mergeCell ref="BO97:BV97"/>
    <mergeCell ref="BO95:BV95"/>
    <mergeCell ref="CN95:CU95"/>
    <mergeCell ref="CV95:DE95"/>
    <mergeCell ref="A96:O96"/>
    <mergeCell ref="P96:AC96"/>
    <mergeCell ref="AG96:AJ96"/>
    <mergeCell ref="AK96:AP96"/>
    <mergeCell ref="AQ96:AX96"/>
    <mergeCell ref="AY96:BF96"/>
    <mergeCell ref="BG96:BN96"/>
    <mergeCell ref="BO94:BV94"/>
    <mergeCell ref="CN94:CU94"/>
    <mergeCell ref="CV94:DE94"/>
    <mergeCell ref="A95:O95"/>
    <mergeCell ref="P95:AC95"/>
    <mergeCell ref="AG95:AJ95"/>
    <mergeCell ref="AK95:AP95"/>
    <mergeCell ref="AQ95:AX95"/>
    <mergeCell ref="AY95:BF95"/>
    <mergeCell ref="BG95:BN95"/>
    <mergeCell ref="BO93:BV93"/>
    <mergeCell ref="CN93:CU93"/>
    <mergeCell ref="CV93:DE93"/>
    <mergeCell ref="A94:O94"/>
    <mergeCell ref="P94:AC94"/>
    <mergeCell ref="AG94:AJ94"/>
    <mergeCell ref="AK94:AP94"/>
    <mergeCell ref="AQ94:AX94"/>
    <mergeCell ref="AY94:BF94"/>
    <mergeCell ref="BG94:BN94"/>
    <mergeCell ref="BO92:BV92"/>
    <mergeCell ref="CN92:CU92"/>
    <mergeCell ref="CV92:DE92"/>
    <mergeCell ref="A93:O93"/>
    <mergeCell ref="P93:AC93"/>
    <mergeCell ref="AG93:AJ93"/>
    <mergeCell ref="AK93:AP93"/>
    <mergeCell ref="AQ93:AX93"/>
    <mergeCell ref="AY93:BF93"/>
    <mergeCell ref="BG93:BN93"/>
    <mergeCell ref="CE91:CM91"/>
    <mergeCell ref="CN91:CU91"/>
    <mergeCell ref="CV91:DE91"/>
    <mergeCell ref="A92:O92"/>
    <mergeCell ref="P92:AC92"/>
    <mergeCell ref="AG92:AJ92"/>
    <mergeCell ref="AK92:AP92"/>
    <mergeCell ref="AQ92:AX92"/>
    <mergeCell ref="AY92:BF92"/>
    <mergeCell ref="BG92:BN92"/>
    <mergeCell ref="CV90:DE90"/>
    <mergeCell ref="A91:O91"/>
    <mergeCell ref="P91:AC91"/>
    <mergeCell ref="AD91:AF91"/>
    <mergeCell ref="AG91:AJ91"/>
    <mergeCell ref="AK91:AP91"/>
    <mergeCell ref="AQ91:AX91"/>
    <mergeCell ref="BG91:BN91"/>
    <mergeCell ref="BO91:BV91"/>
    <mergeCell ref="BW91:CD91"/>
    <mergeCell ref="AY90:BF90"/>
    <mergeCell ref="BG90:BN90"/>
    <mergeCell ref="BO90:BV90"/>
    <mergeCell ref="BW90:CD90"/>
    <mergeCell ref="CE90:CM90"/>
    <mergeCell ref="CN90:CU90"/>
    <mergeCell ref="BW89:CD89"/>
    <mergeCell ref="CE89:CM89"/>
    <mergeCell ref="CN89:CU89"/>
    <mergeCell ref="CV89:DE89"/>
    <mergeCell ref="A90:O90"/>
    <mergeCell ref="P90:AC90"/>
    <mergeCell ref="AD90:AF90"/>
    <mergeCell ref="AG90:AJ90"/>
    <mergeCell ref="AK90:AP90"/>
    <mergeCell ref="AQ90:AX90"/>
    <mergeCell ref="CV88:DE88"/>
    <mergeCell ref="A89:O89"/>
    <mergeCell ref="P89:AC89"/>
    <mergeCell ref="AD89:AF89"/>
    <mergeCell ref="AG89:AJ89"/>
    <mergeCell ref="AK89:AP89"/>
    <mergeCell ref="AQ89:AX89"/>
    <mergeCell ref="AY89:BF89"/>
    <mergeCell ref="BG89:BN89"/>
    <mergeCell ref="BO89:BV89"/>
    <mergeCell ref="AY88:BF88"/>
    <mergeCell ref="BG88:BN88"/>
    <mergeCell ref="BO88:BV88"/>
    <mergeCell ref="BW88:CD88"/>
    <mergeCell ref="CE88:CM88"/>
    <mergeCell ref="CN88:CU88"/>
    <mergeCell ref="BW87:CD87"/>
    <mergeCell ref="CE87:CM87"/>
    <mergeCell ref="CN87:CU87"/>
    <mergeCell ref="CV87:DE87"/>
    <mergeCell ref="A88:O88"/>
    <mergeCell ref="P88:AC88"/>
    <mergeCell ref="AD88:AF88"/>
    <mergeCell ref="AG88:AJ88"/>
    <mergeCell ref="AK88:AP88"/>
    <mergeCell ref="AQ88:AX88"/>
    <mergeCell ref="CV86:DE86"/>
    <mergeCell ref="A87:O87"/>
    <mergeCell ref="P87:AC87"/>
    <mergeCell ref="AD87:AF87"/>
    <mergeCell ref="AG87:AJ87"/>
    <mergeCell ref="AK87:AP87"/>
    <mergeCell ref="AQ87:AX87"/>
    <mergeCell ref="AY87:BF87"/>
    <mergeCell ref="BG87:BN87"/>
    <mergeCell ref="BO87:BV87"/>
    <mergeCell ref="AY86:BF86"/>
    <mergeCell ref="BG86:BN86"/>
    <mergeCell ref="BO86:BV86"/>
    <mergeCell ref="BW86:CD86"/>
    <mergeCell ref="CE86:CM86"/>
    <mergeCell ref="CN86:CU86"/>
    <mergeCell ref="BW85:CD85"/>
    <mergeCell ref="CE85:CM85"/>
    <mergeCell ref="CN85:CU85"/>
    <mergeCell ref="CV85:DE85"/>
    <mergeCell ref="A86:O86"/>
    <mergeCell ref="P86:AC86"/>
    <mergeCell ref="AD86:AF86"/>
    <mergeCell ref="AG86:AJ86"/>
    <mergeCell ref="AK86:AP86"/>
    <mergeCell ref="AQ86:AX86"/>
    <mergeCell ref="CV84:DE84"/>
    <mergeCell ref="A85:O85"/>
    <mergeCell ref="P85:AC85"/>
    <mergeCell ref="AD85:AF85"/>
    <mergeCell ref="AG85:AJ85"/>
    <mergeCell ref="AK85:AP85"/>
    <mergeCell ref="AQ85:AX85"/>
    <mergeCell ref="AY85:BF85"/>
    <mergeCell ref="BG85:BN85"/>
    <mergeCell ref="BO85:BV85"/>
    <mergeCell ref="AY84:BF84"/>
    <mergeCell ref="BG84:BN84"/>
    <mergeCell ref="BO84:BV84"/>
    <mergeCell ref="BW84:CD84"/>
    <mergeCell ref="CE84:CM84"/>
    <mergeCell ref="CN84:CU84"/>
    <mergeCell ref="BW83:CD83"/>
    <mergeCell ref="CE83:CM83"/>
    <mergeCell ref="CN83:CU83"/>
    <mergeCell ref="CV83:DE83"/>
    <mergeCell ref="A84:O84"/>
    <mergeCell ref="P84:AC84"/>
    <mergeCell ref="AD84:AF84"/>
    <mergeCell ref="AG84:AJ84"/>
    <mergeCell ref="AK84:AP84"/>
    <mergeCell ref="AQ84:AX84"/>
    <mergeCell ref="CV82:DE82"/>
    <mergeCell ref="A83:O83"/>
    <mergeCell ref="P83:AC83"/>
    <mergeCell ref="AD83:AF83"/>
    <mergeCell ref="AG83:AJ83"/>
    <mergeCell ref="AK83:AP83"/>
    <mergeCell ref="AQ83:AX83"/>
    <mergeCell ref="AY83:BF83"/>
    <mergeCell ref="BG83:BN83"/>
    <mergeCell ref="BO83:BV83"/>
    <mergeCell ref="AY82:BF82"/>
    <mergeCell ref="BG82:BN82"/>
    <mergeCell ref="BO82:BV82"/>
    <mergeCell ref="BW82:CD82"/>
    <mergeCell ref="CE82:CM82"/>
    <mergeCell ref="CN82:CU82"/>
    <mergeCell ref="BW81:CD81"/>
    <mergeCell ref="CE81:CM81"/>
    <mergeCell ref="CN81:CU81"/>
    <mergeCell ref="CV81:DE81"/>
    <mergeCell ref="A82:O82"/>
    <mergeCell ref="P82:AC82"/>
    <mergeCell ref="AD82:AF82"/>
    <mergeCell ref="AG82:AJ82"/>
    <mergeCell ref="AK82:AP82"/>
    <mergeCell ref="AQ82:AX82"/>
    <mergeCell ref="CV80:DE80"/>
    <mergeCell ref="A81:O81"/>
    <mergeCell ref="P81:AC81"/>
    <mergeCell ref="AD81:AF81"/>
    <mergeCell ref="AG81:AJ81"/>
    <mergeCell ref="AK81:AP81"/>
    <mergeCell ref="AQ81:AX81"/>
    <mergeCell ref="AY81:BF81"/>
    <mergeCell ref="BG81:BN81"/>
    <mergeCell ref="BO81:BV81"/>
    <mergeCell ref="AY80:BF80"/>
    <mergeCell ref="BG80:BN80"/>
    <mergeCell ref="BO80:BV80"/>
    <mergeCell ref="BW80:CD80"/>
    <mergeCell ref="CE80:CM80"/>
    <mergeCell ref="CN80:CU80"/>
    <mergeCell ref="BW79:CD79"/>
    <mergeCell ref="CE79:CM79"/>
    <mergeCell ref="CN79:CU79"/>
    <mergeCell ref="CV79:DE79"/>
    <mergeCell ref="A80:O80"/>
    <mergeCell ref="P80:AC80"/>
    <mergeCell ref="AD80:AF80"/>
    <mergeCell ref="AG80:AJ80"/>
    <mergeCell ref="AK80:AP80"/>
    <mergeCell ref="AQ80:AX80"/>
    <mergeCell ref="CV78:DE78"/>
    <mergeCell ref="A79:O79"/>
    <mergeCell ref="P79:AC79"/>
    <mergeCell ref="AD79:AF79"/>
    <mergeCell ref="AG79:AJ79"/>
    <mergeCell ref="AK79:AP79"/>
    <mergeCell ref="AQ79:AX79"/>
    <mergeCell ref="AY79:BF79"/>
    <mergeCell ref="BG79:BN79"/>
    <mergeCell ref="BO79:BV79"/>
    <mergeCell ref="AY78:BF78"/>
    <mergeCell ref="BG78:BN78"/>
    <mergeCell ref="BO78:BV78"/>
    <mergeCell ref="BW78:CD78"/>
    <mergeCell ref="CE78:CM78"/>
    <mergeCell ref="CN78:CU78"/>
    <mergeCell ref="BW77:CD77"/>
    <mergeCell ref="CE77:CM77"/>
    <mergeCell ref="CN77:CU77"/>
    <mergeCell ref="CV77:DE77"/>
    <mergeCell ref="A78:O78"/>
    <mergeCell ref="P78:AC78"/>
    <mergeCell ref="AD78:AF78"/>
    <mergeCell ref="AG78:AJ78"/>
    <mergeCell ref="AK78:AP78"/>
    <mergeCell ref="AQ78:AX78"/>
    <mergeCell ref="CV76:DE76"/>
    <mergeCell ref="A77:O77"/>
    <mergeCell ref="P77:AC77"/>
    <mergeCell ref="AD77:AF77"/>
    <mergeCell ref="AG77:AJ77"/>
    <mergeCell ref="AK77:AP77"/>
    <mergeCell ref="AQ77:AX77"/>
    <mergeCell ref="AY77:BF77"/>
    <mergeCell ref="BG77:BN77"/>
    <mergeCell ref="BO77:BV77"/>
    <mergeCell ref="AY76:BF76"/>
    <mergeCell ref="BG76:BN76"/>
    <mergeCell ref="BO76:BV76"/>
    <mergeCell ref="BW76:CD76"/>
    <mergeCell ref="CE76:CM76"/>
    <mergeCell ref="CN76:CU76"/>
    <mergeCell ref="BW75:CD75"/>
    <mergeCell ref="CE75:CM75"/>
    <mergeCell ref="CN75:CU75"/>
    <mergeCell ref="CV75:DE75"/>
    <mergeCell ref="A76:O76"/>
    <mergeCell ref="P76:AC76"/>
    <mergeCell ref="AD76:AF76"/>
    <mergeCell ref="AG76:AJ76"/>
    <mergeCell ref="AK76:AP76"/>
    <mergeCell ref="AQ76:AX76"/>
    <mergeCell ref="CV74:DE74"/>
    <mergeCell ref="A75:O75"/>
    <mergeCell ref="P75:AC75"/>
    <mergeCell ref="AD75:AF75"/>
    <mergeCell ref="AG75:AJ75"/>
    <mergeCell ref="AK75:AP75"/>
    <mergeCell ref="AQ75:AX75"/>
    <mergeCell ref="AY75:BF75"/>
    <mergeCell ref="BG75:BN75"/>
    <mergeCell ref="BO75:BV75"/>
    <mergeCell ref="AY74:BF74"/>
    <mergeCell ref="BG74:BN74"/>
    <mergeCell ref="BO74:BV74"/>
    <mergeCell ref="BW74:CD74"/>
    <mergeCell ref="CE74:CM74"/>
    <mergeCell ref="CN74:CU74"/>
    <mergeCell ref="BW73:CD73"/>
    <mergeCell ref="CE73:CM73"/>
    <mergeCell ref="CN73:CU73"/>
    <mergeCell ref="CV73:DE73"/>
    <mergeCell ref="A74:O74"/>
    <mergeCell ref="P74:AC74"/>
    <mergeCell ref="AD74:AF74"/>
    <mergeCell ref="AG74:AJ74"/>
    <mergeCell ref="AK74:AP74"/>
    <mergeCell ref="AQ74:AX74"/>
    <mergeCell ref="CV72:DE72"/>
    <mergeCell ref="A73:O73"/>
    <mergeCell ref="P73:AC73"/>
    <mergeCell ref="AD73:AF73"/>
    <mergeCell ref="AG73:AJ73"/>
    <mergeCell ref="AK73:AP73"/>
    <mergeCell ref="AQ73:AX73"/>
    <mergeCell ref="AY73:BF73"/>
    <mergeCell ref="BG73:BN73"/>
    <mergeCell ref="BO73:BV73"/>
    <mergeCell ref="AY72:BF72"/>
    <mergeCell ref="BG72:BN72"/>
    <mergeCell ref="BO72:BV72"/>
    <mergeCell ref="BW72:CD72"/>
    <mergeCell ref="CE72:CM72"/>
    <mergeCell ref="CN72:CU72"/>
    <mergeCell ref="BW71:CD71"/>
    <mergeCell ref="CE71:CM71"/>
    <mergeCell ref="CN71:CU71"/>
    <mergeCell ref="CV71:DE71"/>
    <mergeCell ref="A72:O72"/>
    <mergeCell ref="P72:AC72"/>
    <mergeCell ref="AD72:AF72"/>
    <mergeCell ref="AG72:AJ72"/>
    <mergeCell ref="AK72:AP72"/>
    <mergeCell ref="AQ72:AX72"/>
    <mergeCell ref="CV70:DE70"/>
    <mergeCell ref="A71:O71"/>
    <mergeCell ref="P71:AC71"/>
    <mergeCell ref="AD71:AF71"/>
    <mergeCell ref="AG71:AJ71"/>
    <mergeCell ref="AK71:AP71"/>
    <mergeCell ref="AQ71:AX71"/>
    <mergeCell ref="AY71:BF71"/>
    <mergeCell ref="BG71:BN71"/>
    <mergeCell ref="BO71:BV71"/>
    <mergeCell ref="AY70:BF70"/>
    <mergeCell ref="BG70:BN70"/>
    <mergeCell ref="BO70:BV70"/>
    <mergeCell ref="BW70:CD70"/>
    <mergeCell ref="CE70:CM70"/>
    <mergeCell ref="CN70:CU70"/>
    <mergeCell ref="BW69:CD69"/>
    <mergeCell ref="CE69:CM69"/>
    <mergeCell ref="CN69:CU69"/>
    <mergeCell ref="CV69:DE69"/>
    <mergeCell ref="A70:O70"/>
    <mergeCell ref="P70:AC70"/>
    <mergeCell ref="AD70:AF70"/>
    <mergeCell ref="AG70:AJ70"/>
    <mergeCell ref="AK70:AP70"/>
    <mergeCell ref="AQ70:AX70"/>
    <mergeCell ref="CV68:DE68"/>
    <mergeCell ref="A69:O69"/>
    <mergeCell ref="P69:AC69"/>
    <mergeCell ref="AD69:AF69"/>
    <mergeCell ref="AG69:AJ69"/>
    <mergeCell ref="AK69:AP69"/>
    <mergeCell ref="AQ69:AX69"/>
    <mergeCell ref="AY69:BF69"/>
    <mergeCell ref="BG69:BN69"/>
    <mergeCell ref="BO69:BV69"/>
    <mergeCell ref="AY68:BF68"/>
    <mergeCell ref="BG68:BN68"/>
    <mergeCell ref="BO68:BV68"/>
    <mergeCell ref="BW68:CD68"/>
    <mergeCell ref="CE68:CM68"/>
    <mergeCell ref="CN68:CU68"/>
    <mergeCell ref="BW67:CD67"/>
    <mergeCell ref="CE67:CM67"/>
    <mergeCell ref="CN67:CU67"/>
    <mergeCell ref="CV67:DE67"/>
    <mergeCell ref="A68:O68"/>
    <mergeCell ref="P68:AC68"/>
    <mergeCell ref="AD68:AF68"/>
    <mergeCell ref="AG68:AJ68"/>
    <mergeCell ref="AK68:AP68"/>
    <mergeCell ref="AQ68:AX68"/>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A64:O64"/>
    <mergeCell ref="P64:AC64"/>
    <mergeCell ref="AD64:AF64"/>
    <mergeCell ref="AG64:AJ64"/>
    <mergeCell ref="AK64:AP64"/>
    <mergeCell ref="AQ64:AX64"/>
    <mergeCell ref="BG63:BN63"/>
    <mergeCell ref="BO63:BV63"/>
    <mergeCell ref="BW63:CD63"/>
    <mergeCell ref="CE63:CM63"/>
    <mergeCell ref="CN63:CU63"/>
    <mergeCell ref="CV63:DE63"/>
    <mergeCell ref="CN62:CU62"/>
    <mergeCell ref="CV62:DE62"/>
    <mergeCell ref="DI62:DQ62"/>
    <mergeCell ref="A63:O63"/>
    <mergeCell ref="P63:AC63"/>
    <mergeCell ref="AD63:AF63"/>
    <mergeCell ref="AG63:AJ63"/>
    <mergeCell ref="AK63:AP63"/>
    <mergeCell ref="AQ63:AX63"/>
    <mergeCell ref="AY63:BF63"/>
    <mergeCell ref="AQ62:AX62"/>
    <mergeCell ref="AY62:BF62"/>
    <mergeCell ref="BG62:BN62"/>
    <mergeCell ref="BO62:BV62"/>
    <mergeCell ref="BW62:CD62"/>
    <mergeCell ref="CE62:CM62"/>
    <mergeCell ref="BO61:BV61"/>
    <mergeCell ref="BW61:CD61"/>
    <mergeCell ref="CE61:CM61"/>
    <mergeCell ref="CN61:CU61"/>
    <mergeCell ref="CV61:DE61"/>
    <mergeCell ref="A62:O62"/>
    <mergeCell ref="P62:AC62"/>
    <mergeCell ref="AD62:AF62"/>
    <mergeCell ref="AG62:AJ62"/>
    <mergeCell ref="AK62:AP62"/>
    <mergeCell ref="CN60:CU60"/>
    <mergeCell ref="CV60:DE60"/>
    <mergeCell ref="A61:O61"/>
    <mergeCell ref="P61:AC61"/>
    <mergeCell ref="AD61:AF61"/>
    <mergeCell ref="AG61:AJ61"/>
    <mergeCell ref="AK61:AP61"/>
    <mergeCell ref="AQ61:AX61"/>
    <mergeCell ref="AY61:BF61"/>
    <mergeCell ref="BG61:BN61"/>
    <mergeCell ref="AQ60:AX60"/>
    <mergeCell ref="AY60:BF60"/>
    <mergeCell ref="BG60:BN60"/>
    <mergeCell ref="BO60:BV60"/>
    <mergeCell ref="BW60:CD60"/>
    <mergeCell ref="CE60:CM60"/>
    <mergeCell ref="BO59:BV59"/>
    <mergeCell ref="BW59:CD59"/>
    <mergeCell ref="CE59:CM59"/>
    <mergeCell ref="CN59:CU59"/>
    <mergeCell ref="CV59:DE59"/>
    <mergeCell ref="A60:O60"/>
    <mergeCell ref="P60:AC60"/>
    <mergeCell ref="AD60:AF60"/>
    <mergeCell ref="AG60:AJ60"/>
    <mergeCell ref="AK60:AP60"/>
    <mergeCell ref="CN58:CU58"/>
    <mergeCell ref="CV58:DE58"/>
    <mergeCell ref="A59:O59"/>
    <mergeCell ref="P59:AC59"/>
    <mergeCell ref="AD59:AF59"/>
    <mergeCell ref="AG59:AJ59"/>
    <mergeCell ref="AK59:AP59"/>
    <mergeCell ref="AQ59:AX59"/>
    <mergeCell ref="AY59:BF59"/>
    <mergeCell ref="BG59:BN59"/>
    <mergeCell ref="AQ58:AX58"/>
    <mergeCell ref="AY58:BF58"/>
    <mergeCell ref="BG58:BN58"/>
    <mergeCell ref="BO58:BV58"/>
    <mergeCell ref="BW58:CD58"/>
    <mergeCell ref="CE58:CM58"/>
    <mergeCell ref="BO57:BV57"/>
    <mergeCell ref="BW57:CD57"/>
    <mergeCell ref="CE57:CM57"/>
    <mergeCell ref="CN57:CU57"/>
    <mergeCell ref="CV57:DE57"/>
    <mergeCell ref="A58:O58"/>
    <mergeCell ref="P58:AC58"/>
    <mergeCell ref="AD58:AF58"/>
    <mergeCell ref="AG58:AJ58"/>
    <mergeCell ref="AK58:AP58"/>
    <mergeCell ref="CN56:CU56"/>
    <mergeCell ref="CV56:DE56"/>
    <mergeCell ref="A57:O57"/>
    <mergeCell ref="P57:AC57"/>
    <mergeCell ref="AD57:AF57"/>
    <mergeCell ref="AG57:AJ57"/>
    <mergeCell ref="AK57:AP57"/>
    <mergeCell ref="AQ57:AX57"/>
    <mergeCell ref="AY57:BF57"/>
    <mergeCell ref="BG57:BN57"/>
    <mergeCell ref="AQ56:AX56"/>
    <mergeCell ref="AY56:BF56"/>
    <mergeCell ref="BG56:BN56"/>
    <mergeCell ref="BO56:BV56"/>
    <mergeCell ref="BW56:CD56"/>
    <mergeCell ref="CE56:CM56"/>
    <mergeCell ref="BO55:BV55"/>
    <mergeCell ref="BW55:CD55"/>
    <mergeCell ref="CE55:CM55"/>
    <mergeCell ref="CN55:CU55"/>
    <mergeCell ref="CV55:DE55"/>
    <mergeCell ref="A56:O56"/>
    <mergeCell ref="P56:AC56"/>
    <mergeCell ref="AD56:AF56"/>
    <mergeCell ref="AG56:AJ56"/>
    <mergeCell ref="AK56:AP56"/>
    <mergeCell ref="CN54:CU54"/>
    <mergeCell ref="CV54:DE54"/>
    <mergeCell ref="A55:O55"/>
    <mergeCell ref="P55:AC55"/>
    <mergeCell ref="AD55:AF55"/>
    <mergeCell ref="AG55:AJ55"/>
    <mergeCell ref="AK55:AP55"/>
    <mergeCell ref="AQ55:AX55"/>
    <mergeCell ref="AY55:BF55"/>
    <mergeCell ref="BG55:BN55"/>
    <mergeCell ref="AQ54:AX54"/>
    <mergeCell ref="AY54:BF54"/>
    <mergeCell ref="BG54:BN54"/>
    <mergeCell ref="BO54:BV54"/>
    <mergeCell ref="BW54:CD54"/>
    <mergeCell ref="CE54:CM54"/>
    <mergeCell ref="BO53:BV53"/>
    <mergeCell ref="BW53:CD53"/>
    <mergeCell ref="CE53:CM53"/>
    <mergeCell ref="CN53:CU53"/>
    <mergeCell ref="CV53:DE53"/>
    <mergeCell ref="A54:O54"/>
    <mergeCell ref="P54:AC54"/>
    <mergeCell ref="AD54:AF54"/>
    <mergeCell ref="AG54:AJ54"/>
    <mergeCell ref="AK54:AP54"/>
    <mergeCell ref="CN52:CU52"/>
    <mergeCell ref="CV52:DE52"/>
    <mergeCell ref="A53:O53"/>
    <mergeCell ref="P53:AC53"/>
    <mergeCell ref="AD53:AF53"/>
    <mergeCell ref="AG53:AJ53"/>
    <mergeCell ref="AK53:AP53"/>
    <mergeCell ref="AQ53:AX53"/>
    <mergeCell ref="AY53:BF53"/>
    <mergeCell ref="BG53:BN53"/>
    <mergeCell ref="AQ52:AX52"/>
    <mergeCell ref="AY52:BF52"/>
    <mergeCell ref="BG52:BN52"/>
    <mergeCell ref="BO52:BV52"/>
    <mergeCell ref="BW52:CD52"/>
    <mergeCell ref="CE52:CM52"/>
    <mergeCell ref="BO51:BV51"/>
    <mergeCell ref="BW51:CD51"/>
    <mergeCell ref="CE51:CM51"/>
    <mergeCell ref="CN51:CU51"/>
    <mergeCell ref="CV51:DE51"/>
    <mergeCell ref="A52:O52"/>
    <mergeCell ref="P52:AC52"/>
    <mergeCell ref="AD52:AF52"/>
    <mergeCell ref="AG52:AJ52"/>
    <mergeCell ref="AK52:AP52"/>
    <mergeCell ref="CN50:CU50"/>
    <mergeCell ref="CV50:DE50"/>
    <mergeCell ref="A51:O51"/>
    <mergeCell ref="P51:AC51"/>
    <mergeCell ref="AD51:AF51"/>
    <mergeCell ref="AG51:AJ51"/>
    <mergeCell ref="AK51:AP51"/>
    <mergeCell ref="AQ51:AX51"/>
    <mergeCell ref="AY51:BF51"/>
    <mergeCell ref="BG51:BN51"/>
    <mergeCell ref="AQ50:AX50"/>
    <mergeCell ref="AY50:BF50"/>
    <mergeCell ref="BG50:BN50"/>
    <mergeCell ref="BO50:BV50"/>
    <mergeCell ref="BW50:CD50"/>
    <mergeCell ref="CE50:CM50"/>
    <mergeCell ref="BO49:BV49"/>
    <mergeCell ref="BW49:CD49"/>
    <mergeCell ref="CE49:CM49"/>
    <mergeCell ref="CN49:CU49"/>
    <mergeCell ref="CV49:DE49"/>
    <mergeCell ref="A50:O50"/>
    <mergeCell ref="P50:AC50"/>
    <mergeCell ref="AD50:AF50"/>
    <mergeCell ref="AG50:AJ50"/>
    <mergeCell ref="AK50:AP50"/>
    <mergeCell ref="CN48:CU48"/>
    <mergeCell ref="CV48:DE48"/>
    <mergeCell ref="A49:O49"/>
    <mergeCell ref="P49:AC49"/>
    <mergeCell ref="AD49:AF49"/>
    <mergeCell ref="AG49:AJ49"/>
    <mergeCell ref="AK49:AP49"/>
    <mergeCell ref="AQ49:AX49"/>
    <mergeCell ref="AY49:BF49"/>
    <mergeCell ref="BG49:BN49"/>
    <mergeCell ref="AQ48:AX48"/>
    <mergeCell ref="AY48:BF48"/>
    <mergeCell ref="BG48:BN48"/>
    <mergeCell ref="BO48:BV48"/>
    <mergeCell ref="BW48:CD48"/>
    <mergeCell ref="CE48:CM48"/>
    <mergeCell ref="BO47:BV47"/>
    <mergeCell ref="BW47:CD47"/>
    <mergeCell ref="CE47:CM47"/>
    <mergeCell ref="CN47:CU47"/>
    <mergeCell ref="CV47:DE47"/>
    <mergeCell ref="A48:O48"/>
    <mergeCell ref="P48:AC48"/>
    <mergeCell ref="AD48:AF48"/>
    <mergeCell ref="AG48:AJ48"/>
    <mergeCell ref="AK48:AP48"/>
    <mergeCell ref="CN46:CU46"/>
    <mergeCell ref="CV46:DE46"/>
    <mergeCell ref="A47:O47"/>
    <mergeCell ref="P47:AC47"/>
    <mergeCell ref="AD47:AF47"/>
    <mergeCell ref="AG47:AJ47"/>
    <mergeCell ref="AK47:AP47"/>
    <mergeCell ref="AQ47:AX47"/>
    <mergeCell ref="AY47:BF47"/>
    <mergeCell ref="BG47:BN47"/>
    <mergeCell ref="AQ46:AX46"/>
    <mergeCell ref="AY46:BF46"/>
    <mergeCell ref="BG46:BN46"/>
    <mergeCell ref="BO46:BV46"/>
    <mergeCell ref="BW46:CD46"/>
    <mergeCell ref="CE46:CM46"/>
    <mergeCell ref="BO45:BV45"/>
    <mergeCell ref="BW45:CD45"/>
    <mergeCell ref="CE45:CM45"/>
    <mergeCell ref="CN45:CU45"/>
    <mergeCell ref="CV45:DE45"/>
    <mergeCell ref="A46:O46"/>
    <mergeCell ref="P46:AC46"/>
    <mergeCell ref="AD46:AF46"/>
    <mergeCell ref="AG46:AJ46"/>
    <mergeCell ref="AK46:AP46"/>
    <mergeCell ref="CN44:CU44"/>
    <mergeCell ref="CV44:DE44"/>
    <mergeCell ref="A45:O45"/>
    <mergeCell ref="P45:AC45"/>
    <mergeCell ref="AD45:AF45"/>
    <mergeCell ref="AG45:AJ45"/>
    <mergeCell ref="AK45:AP45"/>
    <mergeCell ref="AQ45:AX45"/>
    <mergeCell ref="AY45:BF45"/>
    <mergeCell ref="BG45:BN45"/>
    <mergeCell ref="AQ44:AX44"/>
    <mergeCell ref="AY44:BF44"/>
    <mergeCell ref="BG44:BN44"/>
    <mergeCell ref="BO44:BV44"/>
    <mergeCell ref="BW44:CD44"/>
    <mergeCell ref="CE44:CM44"/>
    <mergeCell ref="BO43:BV43"/>
    <mergeCell ref="BW43:CD43"/>
    <mergeCell ref="CE43:CM43"/>
    <mergeCell ref="CN43:CU43"/>
    <mergeCell ref="CV43:DE43"/>
    <mergeCell ref="A44:O44"/>
    <mergeCell ref="P44:AC44"/>
    <mergeCell ref="AD44:AF44"/>
    <mergeCell ref="AG44:AJ44"/>
    <mergeCell ref="AK44:AP44"/>
    <mergeCell ref="CN42:CU42"/>
    <mergeCell ref="CV42:DE42"/>
    <mergeCell ref="A43:O43"/>
    <mergeCell ref="P43:AC43"/>
    <mergeCell ref="AD43:AF43"/>
    <mergeCell ref="AG43:AJ43"/>
    <mergeCell ref="AK43:AP43"/>
    <mergeCell ref="AQ43:AX43"/>
    <mergeCell ref="AY43:BF43"/>
    <mergeCell ref="BG43:BN43"/>
    <mergeCell ref="AQ42:AX42"/>
    <mergeCell ref="AY42:BF42"/>
    <mergeCell ref="BG42:BN42"/>
    <mergeCell ref="BO42:BV42"/>
    <mergeCell ref="BW42:CD42"/>
    <mergeCell ref="CE42:CM42"/>
    <mergeCell ref="BO41:BV41"/>
    <mergeCell ref="BW41:CD41"/>
    <mergeCell ref="CE41:CM41"/>
    <mergeCell ref="CN41:CU41"/>
    <mergeCell ref="CV41:DE41"/>
    <mergeCell ref="A42:O42"/>
    <mergeCell ref="P42:AC42"/>
    <mergeCell ref="AD42:AF42"/>
    <mergeCell ref="AG42:AJ42"/>
    <mergeCell ref="AK42:AP42"/>
    <mergeCell ref="CN40:CU40"/>
    <mergeCell ref="CV40:DE40"/>
    <mergeCell ref="A41:O41"/>
    <mergeCell ref="P41:AC41"/>
    <mergeCell ref="AD41:AF41"/>
    <mergeCell ref="AG41:AJ41"/>
    <mergeCell ref="AK41:AP41"/>
    <mergeCell ref="AQ41:AX41"/>
    <mergeCell ref="AY41:BF41"/>
    <mergeCell ref="BG41:BN41"/>
    <mergeCell ref="AQ40:AX40"/>
    <mergeCell ref="AY40:BF40"/>
    <mergeCell ref="BG40:BN40"/>
    <mergeCell ref="BO40:BV40"/>
    <mergeCell ref="BW40:CD40"/>
    <mergeCell ref="CE40:CM40"/>
    <mergeCell ref="BO39:BV39"/>
    <mergeCell ref="BW39:CD39"/>
    <mergeCell ref="CE39:CM39"/>
    <mergeCell ref="CN39:CU39"/>
    <mergeCell ref="CV39:DE39"/>
    <mergeCell ref="A40:O40"/>
    <mergeCell ref="P40:AC40"/>
    <mergeCell ref="AD40:AF40"/>
    <mergeCell ref="AG40:AJ40"/>
    <mergeCell ref="AK40:AP40"/>
    <mergeCell ref="CN38:CU38"/>
    <mergeCell ref="CV38:DE38"/>
    <mergeCell ref="A39:O39"/>
    <mergeCell ref="P39:AC39"/>
    <mergeCell ref="AD39:AF39"/>
    <mergeCell ref="AG39:AJ39"/>
    <mergeCell ref="AK39:AP39"/>
    <mergeCell ref="AQ39:AX39"/>
    <mergeCell ref="AY39:BF39"/>
    <mergeCell ref="BG39:BN39"/>
    <mergeCell ref="AQ38:AX38"/>
    <mergeCell ref="AY38:BF38"/>
    <mergeCell ref="BG38:BN38"/>
    <mergeCell ref="BO38:BV38"/>
    <mergeCell ref="BW38:CD38"/>
    <mergeCell ref="CE38:CM38"/>
    <mergeCell ref="BO37:BV37"/>
    <mergeCell ref="BW37:CD37"/>
    <mergeCell ref="CE37:CM37"/>
    <mergeCell ref="CN37:CU37"/>
    <mergeCell ref="CV37:DE37"/>
    <mergeCell ref="A38:O38"/>
    <mergeCell ref="P38:AC38"/>
    <mergeCell ref="AD38:AF38"/>
    <mergeCell ref="AG38:AJ38"/>
    <mergeCell ref="AK38:AP38"/>
    <mergeCell ref="CN36:CU36"/>
    <mergeCell ref="CV36:DE36"/>
    <mergeCell ref="A37:O37"/>
    <mergeCell ref="P37:AC37"/>
    <mergeCell ref="AD37:AF37"/>
    <mergeCell ref="AG37:AJ37"/>
    <mergeCell ref="AK37:AP37"/>
    <mergeCell ref="AQ37:AX37"/>
    <mergeCell ref="AY37:BF37"/>
    <mergeCell ref="BG37:BN37"/>
    <mergeCell ref="AQ36:AX36"/>
    <mergeCell ref="AY36:BF36"/>
    <mergeCell ref="BG36:BN36"/>
    <mergeCell ref="BO36:BV36"/>
    <mergeCell ref="BW36:CD36"/>
    <mergeCell ref="CE36:CM36"/>
    <mergeCell ref="BO35:BV35"/>
    <mergeCell ref="BW35:CD35"/>
    <mergeCell ref="CE35:CM35"/>
    <mergeCell ref="CN35:CU35"/>
    <mergeCell ref="CV35:DE35"/>
    <mergeCell ref="A36:O36"/>
    <mergeCell ref="P36:AC36"/>
    <mergeCell ref="AD36:AF36"/>
    <mergeCell ref="AG36:AJ36"/>
    <mergeCell ref="AK36:AP36"/>
    <mergeCell ref="CN34:CU34"/>
    <mergeCell ref="CV34:DE34"/>
    <mergeCell ref="A35:O35"/>
    <mergeCell ref="P35:AC35"/>
    <mergeCell ref="AD35:AF35"/>
    <mergeCell ref="AG35:AJ35"/>
    <mergeCell ref="AK35:AP35"/>
    <mergeCell ref="AQ35:AX35"/>
    <mergeCell ref="AY35:BF35"/>
    <mergeCell ref="BG35:BN35"/>
    <mergeCell ref="AQ34:AX34"/>
    <mergeCell ref="AY34:BF34"/>
    <mergeCell ref="BG34:BN34"/>
    <mergeCell ref="BO34:BV34"/>
    <mergeCell ref="BW34:CD34"/>
    <mergeCell ref="CE34:CM34"/>
    <mergeCell ref="BO33:BV33"/>
    <mergeCell ref="BW33:CD33"/>
    <mergeCell ref="CE33:CM33"/>
    <mergeCell ref="CN33:CU33"/>
    <mergeCell ref="CV33:DE33"/>
    <mergeCell ref="A34:O34"/>
    <mergeCell ref="P34:AC34"/>
    <mergeCell ref="AD34:AF34"/>
    <mergeCell ref="AG34:AJ34"/>
    <mergeCell ref="AK34:AP34"/>
    <mergeCell ref="CN32:CU32"/>
    <mergeCell ref="CV32:DE32"/>
    <mergeCell ref="A33:O33"/>
    <mergeCell ref="P33:AC33"/>
    <mergeCell ref="AD33:AF33"/>
    <mergeCell ref="AG33:AJ33"/>
    <mergeCell ref="AK33:AP33"/>
    <mergeCell ref="AQ33:AX33"/>
    <mergeCell ref="AY33:BF33"/>
    <mergeCell ref="BG33:BN33"/>
    <mergeCell ref="AQ32:AX32"/>
    <mergeCell ref="AY32:BF32"/>
    <mergeCell ref="BG32:BN32"/>
    <mergeCell ref="BO32:BV32"/>
    <mergeCell ref="BW32:CD32"/>
    <mergeCell ref="CE32:CM32"/>
    <mergeCell ref="BO31:BV31"/>
    <mergeCell ref="BW31:CD31"/>
    <mergeCell ref="CE31:CM31"/>
    <mergeCell ref="CN31:CU31"/>
    <mergeCell ref="CV31:DE31"/>
    <mergeCell ref="A32:O32"/>
    <mergeCell ref="P32:AC32"/>
    <mergeCell ref="AD32:AF32"/>
    <mergeCell ref="AG32:AJ32"/>
    <mergeCell ref="AK32:AP32"/>
    <mergeCell ref="CN30:CU30"/>
    <mergeCell ref="CV30:DE30"/>
    <mergeCell ref="A31:O31"/>
    <mergeCell ref="P31:AC31"/>
    <mergeCell ref="AD31:AF31"/>
    <mergeCell ref="AG31:AJ31"/>
    <mergeCell ref="AK31:AP31"/>
    <mergeCell ref="AQ31:AX31"/>
    <mergeCell ref="AY31:BF31"/>
    <mergeCell ref="BG31:BN31"/>
    <mergeCell ref="AQ30:AX30"/>
    <mergeCell ref="AY30:BF30"/>
    <mergeCell ref="BG30:BN30"/>
    <mergeCell ref="BO30:BV30"/>
    <mergeCell ref="BW30:CD30"/>
    <mergeCell ref="CE30:CM30"/>
    <mergeCell ref="BO29:BV29"/>
    <mergeCell ref="BW29:CD29"/>
    <mergeCell ref="CE29:CM29"/>
    <mergeCell ref="CN29:CU29"/>
    <mergeCell ref="CV29:DE29"/>
    <mergeCell ref="A30:O30"/>
    <mergeCell ref="P30:AC30"/>
    <mergeCell ref="AD30:AF30"/>
    <mergeCell ref="AG30:AJ30"/>
    <mergeCell ref="AK30:AP30"/>
    <mergeCell ref="CN28:CU28"/>
    <mergeCell ref="CV28:DE28"/>
    <mergeCell ref="A29:O29"/>
    <mergeCell ref="P29:AC29"/>
    <mergeCell ref="AD29:AF29"/>
    <mergeCell ref="AG29:AJ29"/>
    <mergeCell ref="AK29:AP29"/>
    <mergeCell ref="AQ29:AX29"/>
    <mergeCell ref="AY29:BF29"/>
    <mergeCell ref="BG29:BN29"/>
    <mergeCell ref="AQ28:AX28"/>
    <mergeCell ref="AY28:BF28"/>
    <mergeCell ref="BG28:BN28"/>
    <mergeCell ref="BO28:BV28"/>
    <mergeCell ref="BW28:CD28"/>
    <mergeCell ref="CE28:CM28"/>
    <mergeCell ref="BO27:BV27"/>
    <mergeCell ref="BW27:CD27"/>
    <mergeCell ref="CE27:CM27"/>
    <mergeCell ref="CN27:CU27"/>
    <mergeCell ref="CV27:DE27"/>
    <mergeCell ref="A28:O28"/>
    <mergeCell ref="P28:AC28"/>
    <mergeCell ref="AD28:AF28"/>
    <mergeCell ref="AG28:AJ28"/>
    <mergeCell ref="AK28:AP28"/>
    <mergeCell ref="CN26:CU26"/>
    <mergeCell ref="CV26:DE26"/>
    <mergeCell ref="A27:O27"/>
    <mergeCell ref="P27:AC27"/>
    <mergeCell ref="AD27:AF27"/>
    <mergeCell ref="AG27:AJ27"/>
    <mergeCell ref="AK27:AP27"/>
    <mergeCell ref="AQ27:AX27"/>
    <mergeCell ref="AY27:BF27"/>
    <mergeCell ref="BG27:BN27"/>
    <mergeCell ref="AQ26:AX26"/>
    <mergeCell ref="AY26:BF26"/>
    <mergeCell ref="BG26:BN26"/>
    <mergeCell ref="BO26:BV26"/>
    <mergeCell ref="BW26:CD26"/>
    <mergeCell ref="CE26:CM26"/>
    <mergeCell ref="BO25:BV25"/>
    <mergeCell ref="BW25:CD25"/>
    <mergeCell ref="CE25:CM25"/>
    <mergeCell ref="CN25:CU25"/>
    <mergeCell ref="CV25:DE25"/>
    <mergeCell ref="A26:O26"/>
    <mergeCell ref="P26:AC26"/>
    <mergeCell ref="AD26:AF26"/>
    <mergeCell ref="AG26:AJ26"/>
    <mergeCell ref="AK26:AP26"/>
    <mergeCell ref="CN24:CU24"/>
    <mergeCell ref="CV24:DE24"/>
    <mergeCell ref="A25:O25"/>
    <mergeCell ref="P25:AC25"/>
    <mergeCell ref="AD25:AF25"/>
    <mergeCell ref="AG25:AJ25"/>
    <mergeCell ref="AK25:AP25"/>
    <mergeCell ref="AQ25:AX25"/>
    <mergeCell ref="AY25:BF25"/>
    <mergeCell ref="BG25:BN25"/>
    <mergeCell ref="AQ24:AX24"/>
    <mergeCell ref="AY24:BF24"/>
    <mergeCell ref="BG24:BN24"/>
    <mergeCell ref="BO24:BV24"/>
    <mergeCell ref="BW24:CD24"/>
    <mergeCell ref="CE24:CM24"/>
    <mergeCell ref="BO23:BV23"/>
    <mergeCell ref="BW23:CD23"/>
    <mergeCell ref="CE23:CM23"/>
    <mergeCell ref="CN23:CU23"/>
    <mergeCell ref="CV23:DE23"/>
    <mergeCell ref="A24:O24"/>
    <mergeCell ref="P24:AC24"/>
    <mergeCell ref="AD24:AF24"/>
    <mergeCell ref="AG24:AJ24"/>
    <mergeCell ref="AK24:AP24"/>
    <mergeCell ref="CN22:CU22"/>
    <mergeCell ref="CV22:DE22"/>
    <mergeCell ref="A23:O23"/>
    <mergeCell ref="P23:AC23"/>
    <mergeCell ref="AD23:AF23"/>
    <mergeCell ref="AG23:AJ23"/>
    <mergeCell ref="AK23:AP23"/>
    <mergeCell ref="AQ23:AX23"/>
    <mergeCell ref="AY23:BF23"/>
    <mergeCell ref="BG23:BN23"/>
    <mergeCell ref="AQ22:AX22"/>
    <mergeCell ref="AY22:BF22"/>
    <mergeCell ref="BG22:BN22"/>
    <mergeCell ref="BO22:BV22"/>
    <mergeCell ref="BW22:CD22"/>
    <mergeCell ref="CE22:CM22"/>
    <mergeCell ref="BO21:BV21"/>
    <mergeCell ref="BW21:CD21"/>
    <mergeCell ref="CE21:CM21"/>
    <mergeCell ref="CN21:CU21"/>
    <mergeCell ref="CV21:DE21"/>
    <mergeCell ref="A22:O22"/>
    <mergeCell ref="P22:AC22"/>
    <mergeCell ref="AD22:AF22"/>
    <mergeCell ref="AG22:AJ22"/>
    <mergeCell ref="AK22:AP22"/>
    <mergeCell ref="CN20:CU20"/>
    <mergeCell ref="CV20:DE20"/>
    <mergeCell ref="A21:O21"/>
    <mergeCell ref="P21:AC21"/>
    <mergeCell ref="AD21:AF21"/>
    <mergeCell ref="AG21:AJ21"/>
    <mergeCell ref="AK21:AP21"/>
    <mergeCell ref="AQ21:AX21"/>
    <mergeCell ref="AY21:BF21"/>
    <mergeCell ref="BG21:BN21"/>
    <mergeCell ref="AQ20:AX20"/>
    <mergeCell ref="AY20:BF20"/>
    <mergeCell ref="BG20:BN20"/>
    <mergeCell ref="BO20:BV20"/>
    <mergeCell ref="BW20:CD20"/>
    <mergeCell ref="CE20:CM20"/>
    <mergeCell ref="BO19:BV19"/>
    <mergeCell ref="BW19:CD19"/>
    <mergeCell ref="CE19:CM19"/>
    <mergeCell ref="CN19:CU19"/>
    <mergeCell ref="CV19:DE19"/>
    <mergeCell ref="A20:O20"/>
    <mergeCell ref="P20:AC20"/>
    <mergeCell ref="AD20:AF20"/>
    <mergeCell ref="AG20:AJ20"/>
    <mergeCell ref="AK20:AP20"/>
    <mergeCell ref="CN18:CU18"/>
    <mergeCell ref="CV18:DE18"/>
    <mergeCell ref="A19:O19"/>
    <mergeCell ref="P19:AC19"/>
    <mergeCell ref="AD19:AF19"/>
    <mergeCell ref="AG19:AJ19"/>
    <mergeCell ref="AK19:AP19"/>
    <mergeCell ref="AQ19:AX19"/>
    <mergeCell ref="AY19:BF19"/>
    <mergeCell ref="BG19:BN19"/>
    <mergeCell ref="AQ18:AX18"/>
    <mergeCell ref="AY18:BF18"/>
    <mergeCell ref="BG18:BN18"/>
    <mergeCell ref="BO18:BV18"/>
    <mergeCell ref="BW18:CD18"/>
    <mergeCell ref="CE18:CM18"/>
    <mergeCell ref="BO17:BV17"/>
    <mergeCell ref="BW17:CD17"/>
    <mergeCell ref="CE17:CM17"/>
    <mergeCell ref="CN17:CU17"/>
    <mergeCell ref="CV17:DE17"/>
    <mergeCell ref="A18:O18"/>
    <mergeCell ref="P18:AC18"/>
    <mergeCell ref="AD18:AF18"/>
    <mergeCell ref="AG18:AJ18"/>
    <mergeCell ref="AK18:AP18"/>
    <mergeCell ref="CN16:CU16"/>
    <mergeCell ref="CV16:DE16"/>
    <mergeCell ref="A17:O17"/>
    <mergeCell ref="P17:AC17"/>
    <mergeCell ref="AD17:AF17"/>
    <mergeCell ref="AG17:AJ17"/>
    <mergeCell ref="AK17:AP17"/>
    <mergeCell ref="AQ17:AX17"/>
    <mergeCell ref="AY17:BF17"/>
    <mergeCell ref="BG17:BN17"/>
    <mergeCell ref="AQ16:AX16"/>
    <mergeCell ref="AY16:BF16"/>
    <mergeCell ref="BG16:BN16"/>
    <mergeCell ref="BO16:BV16"/>
    <mergeCell ref="BW16:CD16"/>
    <mergeCell ref="CE16:CM16"/>
    <mergeCell ref="BO15:BV15"/>
    <mergeCell ref="BW15:CD15"/>
    <mergeCell ref="CE15:CM15"/>
    <mergeCell ref="CN15:CU15"/>
    <mergeCell ref="CV15:DE15"/>
    <mergeCell ref="A16:O16"/>
    <mergeCell ref="P16:AC16"/>
    <mergeCell ref="AD16:AF16"/>
    <mergeCell ref="AG16:AJ16"/>
    <mergeCell ref="AK16:AP16"/>
    <mergeCell ref="CN14:CU14"/>
    <mergeCell ref="CV14:DE14"/>
    <mergeCell ref="A15:O15"/>
    <mergeCell ref="P15:AC15"/>
    <mergeCell ref="AD15:AF15"/>
    <mergeCell ref="AG15:AJ15"/>
    <mergeCell ref="AK15:AP15"/>
    <mergeCell ref="AQ15:AX15"/>
    <mergeCell ref="AY15:BF15"/>
    <mergeCell ref="BG15:BN15"/>
    <mergeCell ref="AQ14:AX14"/>
    <mergeCell ref="AY14:BF14"/>
    <mergeCell ref="BG14:BN14"/>
    <mergeCell ref="BO14:BV14"/>
    <mergeCell ref="BW14:CD14"/>
    <mergeCell ref="CE14:CM14"/>
    <mergeCell ref="BO13:BV13"/>
    <mergeCell ref="BW13:CD13"/>
    <mergeCell ref="CE13:CM13"/>
    <mergeCell ref="CN13:CU13"/>
    <mergeCell ref="CV13:DE13"/>
    <mergeCell ref="A14:O14"/>
    <mergeCell ref="P14:AC14"/>
    <mergeCell ref="AD14:AF14"/>
    <mergeCell ref="AG14:AJ14"/>
    <mergeCell ref="AK14:AP14"/>
    <mergeCell ref="CN12:CU12"/>
    <mergeCell ref="CV12:DE12"/>
    <mergeCell ref="A13:O13"/>
    <mergeCell ref="P13:AC13"/>
    <mergeCell ref="AD13:AF13"/>
    <mergeCell ref="AG13:AJ13"/>
    <mergeCell ref="AK13:AP13"/>
    <mergeCell ref="AQ13:AX13"/>
    <mergeCell ref="AY13:BF13"/>
    <mergeCell ref="BG13:BN13"/>
    <mergeCell ref="AQ12:AX12"/>
    <mergeCell ref="AY12:BF12"/>
    <mergeCell ref="BG12:BN12"/>
    <mergeCell ref="BO12:BV12"/>
    <mergeCell ref="BW12:CD12"/>
    <mergeCell ref="CE12:CM12"/>
    <mergeCell ref="BO11:BV11"/>
    <mergeCell ref="BW11:CD11"/>
    <mergeCell ref="CE11:CM11"/>
    <mergeCell ref="CN11:CU11"/>
    <mergeCell ref="CV11:DE11"/>
    <mergeCell ref="A12:O12"/>
    <mergeCell ref="P12:AC12"/>
    <mergeCell ref="AD12:AF12"/>
    <mergeCell ref="AG12:AJ12"/>
    <mergeCell ref="AK12:AP12"/>
    <mergeCell ref="CN10:CU10"/>
    <mergeCell ref="CV10:DE10"/>
    <mergeCell ref="A11:O11"/>
    <mergeCell ref="P11:AC11"/>
    <mergeCell ref="AD11:AF11"/>
    <mergeCell ref="AG11:AJ11"/>
    <mergeCell ref="AK11:AP11"/>
    <mergeCell ref="AQ11:AX11"/>
    <mergeCell ref="AY11:BF11"/>
    <mergeCell ref="BG11:BN11"/>
    <mergeCell ref="AQ10:AX10"/>
    <mergeCell ref="AY10:BF10"/>
    <mergeCell ref="BG10:BN10"/>
    <mergeCell ref="BO10:BV10"/>
    <mergeCell ref="BW10:CD10"/>
    <mergeCell ref="CE10:CM10"/>
    <mergeCell ref="BO9:BV9"/>
    <mergeCell ref="BW9:CD9"/>
    <mergeCell ref="CE9:CM9"/>
    <mergeCell ref="CN9:CU9"/>
    <mergeCell ref="CV9:DE9"/>
    <mergeCell ref="A10:O10"/>
    <mergeCell ref="P10:AC10"/>
    <mergeCell ref="AD10:AF10"/>
    <mergeCell ref="AG10:AJ10"/>
    <mergeCell ref="AK10:AP10"/>
    <mergeCell ref="CN8:CU8"/>
    <mergeCell ref="CV8:DE8"/>
    <mergeCell ref="A9:O9"/>
    <mergeCell ref="P9:AC9"/>
    <mergeCell ref="AD9:AF9"/>
    <mergeCell ref="AG9:AJ9"/>
    <mergeCell ref="AK9:AP9"/>
    <mergeCell ref="AQ9:AX9"/>
    <mergeCell ref="AY9:BF9"/>
    <mergeCell ref="BG9:BN9"/>
    <mergeCell ref="AQ8:AX8"/>
    <mergeCell ref="AY8:BF8"/>
    <mergeCell ref="BG8:BN8"/>
    <mergeCell ref="BO8:BV8"/>
    <mergeCell ref="BW8:CD8"/>
    <mergeCell ref="CE8:CM8"/>
    <mergeCell ref="A1:DE1"/>
    <mergeCell ref="A2:DE2"/>
    <mergeCell ref="A4:O6"/>
    <mergeCell ref="P4:AC6"/>
    <mergeCell ref="AD4:AF6"/>
    <mergeCell ref="AG4:AJ6"/>
    <mergeCell ref="AK4:AX4"/>
    <mergeCell ref="AY4:BF4"/>
    <mergeCell ref="BG4:BN4"/>
    <mergeCell ref="BO4:BV4"/>
    <mergeCell ref="AK6:AP6"/>
    <mergeCell ref="AQ6:AX6"/>
    <mergeCell ref="AY6:BF6"/>
    <mergeCell ref="AK7:AP7"/>
    <mergeCell ref="AQ7:AX7"/>
    <mergeCell ref="A8:O8"/>
    <mergeCell ref="P8:AC8"/>
    <mergeCell ref="AD8:AF8"/>
    <mergeCell ref="AG8:AJ8"/>
    <mergeCell ref="AK8:AP8"/>
    <mergeCell ref="BW4:CD4"/>
    <mergeCell ref="CE4:CM4"/>
    <mergeCell ref="CN4:CU6"/>
    <mergeCell ref="CV4:DE6"/>
    <mergeCell ref="AK5:AX5"/>
    <mergeCell ref="AY5:BF5"/>
    <mergeCell ref="BG5:BN6"/>
    <mergeCell ref="BO5:BV6"/>
    <mergeCell ref="BW5:CD6"/>
    <mergeCell ref="CE5:CM6"/>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abSelected="1" zoomScale="110" zoomScaleNormal="110" workbookViewId="0">
      <selection activeCell="E8" sqref="E8"/>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44" t="s">
        <v>838</v>
      </c>
      <c r="B1" s="645"/>
      <c r="C1" s="645"/>
      <c r="D1" s="645"/>
      <c r="E1" s="646"/>
    </row>
    <row r="2" spans="1:5">
      <c r="A2" s="158" t="s">
        <v>2</v>
      </c>
      <c r="B2" s="159" t="s">
        <v>561</v>
      </c>
      <c r="C2" s="159" t="s">
        <v>562</v>
      </c>
      <c r="D2" s="160" t="s">
        <v>27</v>
      </c>
      <c r="E2" s="161" t="s">
        <v>563</v>
      </c>
    </row>
    <row r="3" spans="1:5" ht="60">
      <c r="A3" s="162">
        <v>1</v>
      </c>
      <c r="B3" s="30">
        <v>0</v>
      </c>
      <c r="C3" s="26">
        <v>0</v>
      </c>
      <c r="D3" s="28" t="s">
        <v>572</v>
      </c>
      <c r="E3" s="163" t="s">
        <v>1128</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866</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Hp</cp:lastModifiedBy>
  <cp:lastPrinted>2018-10-24T18:01:12Z</cp:lastPrinted>
  <dcterms:created xsi:type="dcterms:W3CDTF">2013-09-24T17:23:29Z</dcterms:created>
  <dcterms:modified xsi:type="dcterms:W3CDTF">2019-01-17T19:26:00Z</dcterms:modified>
</cp:coreProperties>
</file>